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10568354\Box\RDW FILES\UVU\3030 CMGT Estimating\"/>
    </mc:Choice>
  </mc:AlternateContent>
  <xr:revisionPtr revIDLastSave="0" documentId="13_ncr:1_{96058C0D-A4F8-48EB-8CEC-033FA6EF601D}" xr6:coauthVersionLast="43" xr6:coauthVersionMax="44" xr10:uidLastSave="{00000000-0000-0000-0000-000000000000}"/>
  <bookViews>
    <workbookView xWindow="-108" yWindow="-108" windowWidth="23256" windowHeight="12576" activeTab="6" xr2:uid="{00000000-000D-0000-FFFF-FFFF00000000}"/>
  </bookViews>
  <sheets>
    <sheet name="Summary" sheetId="1" r:id="rId1"/>
    <sheet name="Gen Exp" sheetId="5" r:id="rId2"/>
    <sheet name="Excavation" sheetId="2" r:id="rId3"/>
    <sheet name="Concrete" sheetId="3" r:id="rId4"/>
    <sheet name="Masonry" sheetId="6" r:id="rId5"/>
    <sheet name="Carpentry" sheetId="4" r:id="rId6"/>
    <sheet name="Sheet1" sheetId="7" r:id="rId7"/>
  </sheets>
  <definedNames>
    <definedName name="_xlnm.Print_Area" localSheetId="5">Carpentry!$B$1:$Y$121</definedName>
    <definedName name="_xlnm.Print_Area" localSheetId="0">Summary!$B$2:$L$59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7" l="1"/>
  <c r="F6" i="7"/>
  <c r="F4" i="7"/>
  <c r="F7" i="7" l="1"/>
  <c r="E43" i="1"/>
  <c r="F43" i="1"/>
  <c r="H43" i="1"/>
  <c r="K43" i="1"/>
  <c r="D43" i="1"/>
  <c r="I22" i="1"/>
  <c r="J22" i="1" s="1"/>
  <c r="I23" i="1"/>
  <c r="J23" i="1" s="1"/>
  <c r="I24" i="1"/>
  <c r="J24" i="1" s="1"/>
  <c r="I25" i="1"/>
  <c r="J25" i="1"/>
  <c r="I26" i="1"/>
  <c r="J26" i="1" s="1"/>
  <c r="I27" i="1"/>
  <c r="J27" i="1"/>
  <c r="I29" i="1"/>
  <c r="J29" i="1"/>
  <c r="I30" i="1"/>
  <c r="J30" i="1" s="1"/>
  <c r="I31" i="1"/>
  <c r="J31" i="1" s="1"/>
  <c r="I32" i="1"/>
  <c r="J32" i="1" s="1"/>
  <c r="I33" i="1"/>
  <c r="L33" i="1" s="1"/>
  <c r="I34" i="1"/>
  <c r="J34" i="1" s="1"/>
  <c r="I35" i="1"/>
  <c r="J35" i="1"/>
  <c r="I36" i="1"/>
  <c r="J36" i="1" s="1"/>
  <c r="I37" i="1"/>
  <c r="J37" i="1"/>
  <c r="I38" i="1"/>
  <c r="J38" i="1" s="1"/>
  <c r="I39" i="1"/>
  <c r="J39" i="1"/>
  <c r="I40" i="1"/>
  <c r="J40" i="1" s="1"/>
  <c r="I41" i="1"/>
  <c r="J41" i="1"/>
  <c r="I42" i="1"/>
  <c r="J42" i="1" s="1"/>
  <c r="L23" i="1"/>
  <c r="L24" i="1"/>
  <c r="L25" i="1"/>
  <c r="L27" i="1"/>
  <c r="L29" i="1"/>
  <c r="L31" i="1"/>
  <c r="L32" i="1"/>
  <c r="L35" i="1"/>
  <c r="L36" i="1"/>
  <c r="L37" i="1"/>
  <c r="L39" i="1"/>
  <c r="L40" i="1"/>
  <c r="L41" i="1"/>
  <c r="I21" i="1"/>
  <c r="F17" i="1"/>
  <c r="F18" i="1" s="1"/>
  <c r="G17" i="1"/>
  <c r="G18" i="1" s="1"/>
  <c r="H17" i="1"/>
  <c r="H18" i="1" s="1"/>
  <c r="K17" i="1"/>
  <c r="K18" i="1" s="1"/>
  <c r="E17" i="1"/>
  <c r="E18" i="1" s="1"/>
  <c r="D17" i="1"/>
  <c r="D18" i="1" s="1"/>
  <c r="I13" i="1"/>
  <c r="I14" i="1"/>
  <c r="I15" i="1"/>
  <c r="I16" i="1"/>
  <c r="I12" i="1"/>
  <c r="J33" i="1" l="1"/>
  <c r="L12" i="1"/>
  <c r="J12" i="1"/>
  <c r="I17" i="1"/>
  <c r="I18" i="1" s="1"/>
  <c r="L16" i="1"/>
  <c r="L17" i="1" s="1"/>
  <c r="L18" i="1" s="1"/>
  <c r="J16" i="1"/>
  <c r="L15" i="1"/>
  <c r="J15" i="1"/>
  <c r="J17" i="1" s="1"/>
  <c r="J18" i="1" s="1"/>
  <c r="L14" i="1"/>
  <c r="J14" i="1"/>
  <c r="L13" i="1"/>
  <c r="J13" i="1"/>
  <c r="J21" i="1"/>
  <c r="L21" i="1"/>
  <c r="D48" i="1"/>
  <c r="H51" i="1" s="1"/>
  <c r="D44" i="1"/>
  <c r="K44" i="1"/>
  <c r="K48" i="1" s="1"/>
  <c r="H48" i="1"/>
  <c r="H44" i="1"/>
  <c r="F48" i="1"/>
  <c r="F44" i="1"/>
  <c r="E48" i="1"/>
  <c r="E44" i="1"/>
  <c r="L42" i="1"/>
  <c r="L38" i="1"/>
  <c r="L34" i="1"/>
  <c r="L30" i="1"/>
  <c r="L26" i="1"/>
  <c r="L22" i="1"/>
  <c r="G105" i="4"/>
  <c r="G106" i="4"/>
  <c r="G107" i="4"/>
  <c r="G108" i="4"/>
  <c r="G109" i="4"/>
  <c r="S106" i="4"/>
  <c r="S107" i="4"/>
  <c r="S108" i="4"/>
  <c r="S109" i="4"/>
  <c r="S110" i="4"/>
  <c r="S68" i="4" l="1"/>
  <c r="S69" i="4"/>
  <c r="S70" i="4"/>
  <c r="S71" i="4"/>
  <c r="W28" i="4"/>
  <c r="W29" i="4"/>
  <c r="S27" i="4"/>
  <c r="T27" i="4"/>
  <c r="U27" i="4"/>
  <c r="S28" i="4"/>
  <c r="T28" i="4"/>
  <c r="U28" i="4"/>
  <c r="S29" i="4"/>
  <c r="T29" i="4"/>
  <c r="U29" i="4"/>
  <c r="Q28" i="4"/>
  <c r="Q29" i="4"/>
  <c r="P28" i="4"/>
  <c r="P29" i="4"/>
  <c r="F143" i="4"/>
  <c r="F142" i="4"/>
  <c r="F141" i="4"/>
  <c r="P22" i="4" s="1"/>
  <c r="F140" i="4"/>
  <c r="F139" i="4"/>
  <c r="P27" i="4" s="1"/>
  <c r="F138" i="4"/>
  <c r="I34" i="4" l="1"/>
  <c r="H40" i="4"/>
  <c r="H41" i="4"/>
  <c r="G34" i="4"/>
  <c r="H34" i="4" s="1"/>
  <c r="J34" i="4" l="1"/>
  <c r="L66" i="4"/>
  <c r="K69" i="4"/>
  <c r="K70" i="4"/>
  <c r="K71" i="4"/>
  <c r="J69" i="4"/>
  <c r="J70" i="4"/>
  <c r="J71" i="4"/>
  <c r="H69" i="4"/>
  <c r="H70" i="4"/>
  <c r="H71" i="4"/>
  <c r="F67" i="4"/>
  <c r="H67" i="4" s="1"/>
  <c r="F68" i="4"/>
  <c r="H68" i="4" s="1"/>
  <c r="F69" i="4"/>
  <c r="F70" i="4"/>
  <c r="F71" i="4"/>
  <c r="F66" i="4"/>
  <c r="H66" i="4" s="1"/>
  <c r="AF172" i="4"/>
  <c r="AF173" i="4"/>
  <c r="AF174" i="4"/>
  <c r="AF175" i="4"/>
  <c r="AF176" i="4"/>
  <c r="AF177" i="4"/>
  <c r="AF178" i="4"/>
  <c r="AF179" i="4"/>
  <c r="J66" i="4" s="1"/>
  <c r="AF180" i="4"/>
  <c r="AF181" i="4"/>
  <c r="J68" i="4" s="1"/>
  <c r="AF182" i="4"/>
  <c r="AF183" i="4"/>
  <c r="AF171" i="4"/>
  <c r="J61" i="4"/>
  <c r="I57" i="4"/>
  <c r="I58" i="4"/>
  <c r="I59" i="4"/>
  <c r="I60" i="4"/>
  <c r="I61" i="4"/>
  <c r="I56" i="4"/>
  <c r="H61" i="4"/>
  <c r="F57" i="4"/>
  <c r="H57" i="4" s="1"/>
  <c r="F58" i="4"/>
  <c r="H58" i="4" s="1"/>
  <c r="F59" i="4"/>
  <c r="H59" i="4" s="1"/>
  <c r="J59" i="4" s="1"/>
  <c r="F60" i="4"/>
  <c r="H60" i="4" s="1"/>
  <c r="F61" i="4"/>
  <c r="F56" i="4"/>
  <c r="H56" i="4" s="1"/>
  <c r="J67" i="4" l="1"/>
  <c r="K67" i="4" s="1"/>
  <c r="J60" i="4"/>
  <c r="K68" i="4"/>
  <c r="J56" i="4"/>
  <c r="J58" i="4"/>
  <c r="J57" i="4"/>
  <c r="K66" i="4"/>
  <c r="I27" i="4"/>
  <c r="Q27" i="4" s="1"/>
  <c r="W27" i="4" s="1"/>
  <c r="J27" i="4"/>
  <c r="I28" i="4"/>
  <c r="J28" i="4"/>
  <c r="K28" i="4"/>
  <c r="J23" i="4"/>
  <c r="J24" i="4"/>
  <c r="J25" i="4"/>
  <c r="J26" i="4"/>
  <c r="J29" i="4"/>
  <c r="J22" i="4"/>
  <c r="I23" i="4"/>
  <c r="I24" i="4"/>
  <c r="I25" i="4"/>
  <c r="I26" i="4"/>
  <c r="I29" i="4"/>
  <c r="K29" i="4" s="1"/>
  <c r="I22" i="4"/>
  <c r="J15" i="4"/>
  <c r="J16" i="4"/>
  <c r="J17" i="4"/>
  <c r="I13" i="4"/>
  <c r="I14" i="4"/>
  <c r="I15" i="4"/>
  <c r="I16" i="4"/>
  <c r="I17" i="4"/>
  <c r="I12" i="4"/>
  <c r="H13" i="4"/>
  <c r="H14" i="4"/>
  <c r="H15" i="4"/>
  <c r="H16" i="4"/>
  <c r="H17" i="4"/>
  <c r="H12" i="4"/>
  <c r="J14" i="4" l="1"/>
  <c r="J13" i="4"/>
  <c r="K25" i="4"/>
  <c r="K24" i="4"/>
  <c r="K22" i="4"/>
  <c r="J12" i="4"/>
  <c r="K23" i="4"/>
  <c r="K27" i="4"/>
  <c r="K26" i="4"/>
  <c r="S95" i="4"/>
  <c r="T95" i="4"/>
  <c r="U95" i="4"/>
  <c r="S96" i="4"/>
  <c r="T96" i="4"/>
  <c r="U96" i="4"/>
  <c r="S97" i="4"/>
  <c r="T97" i="4"/>
  <c r="U97" i="4"/>
  <c r="P67" i="4"/>
  <c r="P68" i="4"/>
  <c r="P69" i="4"/>
  <c r="P70" i="4"/>
  <c r="P71" i="4"/>
  <c r="P66" i="4"/>
  <c r="P57" i="4"/>
  <c r="P58" i="4"/>
  <c r="P59" i="4"/>
  <c r="P60" i="4"/>
  <c r="P61" i="4"/>
  <c r="P56" i="4"/>
  <c r="G35" i="4"/>
  <c r="H35" i="4" s="1"/>
  <c r="G36" i="4"/>
  <c r="H36" i="4" s="1"/>
  <c r="G37" i="4"/>
  <c r="H37" i="4" s="1"/>
  <c r="G38" i="4"/>
  <c r="H38" i="4" s="1"/>
  <c r="G39" i="4"/>
  <c r="H39" i="4" s="1"/>
  <c r="G40" i="4"/>
  <c r="G41" i="4"/>
  <c r="W78" i="4"/>
  <c r="W79" i="4"/>
  <c r="S77" i="4"/>
  <c r="T77" i="4"/>
  <c r="U77" i="4"/>
  <c r="S78" i="4"/>
  <c r="T78" i="4"/>
  <c r="U78" i="4"/>
  <c r="S79" i="4"/>
  <c r="T79" i="4"/>
  <c r="U79" i="4"/>
  <c r="U76" i="4"/>
  <c r="T76" i="4"/>
  <c r="S76" i="4"/>
  <c r="P77" i="4"/>
  <c r="P78" i="4"/>
  <c r="Q78" i="4" s="1"/>
  <c r="P79" i="4"/>
  <c r="Q79" i="4" s="1"/>
  <c r="P76" i="4"/>
  <c r="G96" i="4"/>
  <c r="G97" i="4"/>
  <c r="G98" i="4"/>
  <c r="G99" i="4"/>
  <c r="S98" i="4"/>
  <c r="T98" i="4"/>
  <c r="U98" i="4"/>
  <c r="S99" i="4"/>
  <c r="T99" i="4"/>
  <c r="U99" i="4"/>
  <c r="W96" i="4"/>
  <c r="W98" i="4"/>
  <c r="W99" i="4"/>
  <c r="W95" i="4"/>
  <c r="S67" i="4"/>
  <c r="S66" i="4"/>
  <c r="Q61" i="4"/>
  <c r="W61" i="4"/>
  <c r="S57" i="4"/>
  <c r="T57" i="4"/>
  <c r="U57" i="4"/>
  <c r="S58" i="4"/>
  <c r="T58" i="4"/>
  <c r="U58" i="4"/>
  <c r="S59" i="4"/>
  <c r="T59" i="4"/>
  <c r="U59" i="4"/>
  <c r="S60" i="4"/>
  <c r="T60" i="4"/>
  <c r="U60" i="4"/>
  <c r="S61" i="4"/>
  <c r="T61" i="4"/>
  <c r="U61" i="4"/>
  <c r="U56" i="4"/>
  <c r="T56" i="4"/>
  <c r="S56" i="4"/>
  <c r="W50" i="4"/>
  <c r="W51" i="4"/>
  <c r="U47" i="4"/>
  <c r="U48" i="4"/>
  <c r="U49" i="4"/>
  <c r="U50" i="4"/>
  <c r="U51" i="4"/>
  <c r="U46" i="4"/>
  <c r="T47" i="4"/>
  <c r="T48" i="4"/>
  <c r="T49" i="4"/>
  <c r="T50" i="4"/>
  <c r="T51" i="4"/>
  <c r="T46" i="4"/>
  <c r="S47" i="4"/>
  <c r="S48" i="4"/>
  <c r="S49" i="4"/>
  <c r="S50" i="4"/>
  <c r="S51" i="4"/>
  <c r="S46" i="4"/>
  <c r="Q50" i="4"/>
  <c r="Q51" i="4"/>
  <c r="P47" i="4"/>
  <c r="P48" i="4"/>
  <c r="P49" i="4"/>
  <c r="P50" i="4"/>
  <c r="P51" i="4"/>
  <c r="P46" i="4"/>
  <c r="W40" i="4" l="1"/>
  <c r="W41" i="4"/>
  <c r="U35" i="4"/>
  <c r="U36" i="4"/>
  <c r="U37" i="4"/>
  <c r="U38" i="4"/>
  <c r="U39" i="4"/>
  <c r="U40" i="4"/>
  <c r="U41" i="4"/>
  <c r="U34" i="4"/>
  <c r="T35" i="4"/>
  <c r="T36" i="4"/>
  <c r="T37" i="4"/>
  <c r="T38" i="4"/>
  <c r="T39" i="4"/>
  <c r="T40" i="4"/>
  <c r="T41" i="4"/>
  <c r="T34" i="4"/>
  <c r="S35" i="4"/>
  <c r="S36" i="4"/>
  <c r="S37" i="4"/>
  <c r="S38" i="4"/>
  <c r="S39" i="4"/>
  <c r="S40" i="4"/>
  <c r="S41" i="4"/>
  <c r="S34" i="4"/>
  <c r="Q40" i="4"/>
  <c r="Q41" i="4"/>
  <c r="P40" i="4"/>
  <c r="P41" i="4"/>
  <c r="S24" i="4"/>
  <c r="T24" i="4"/>
  <c r="U24" i="4"/>
  <c r="S25" i="4"/>
  <c r="T25" i="4"/>
  <c r="U25" i="4"/>
  <c r="S26" i="4"/>
  <c r="T26" i="4"/>
  <c r="U26" i="4"/>
  <c r="U23" i="4"/>
  <c r="T23" i="4"/>
  <c r="S23" i="4"/>
  <c r="U22" i="4"/>
  <c r="T22" i="4"/>
  <c r="S22" i="4"/>
  <c r="F151" i="4"/>
  <c r="F150" i="4"/>
  <c r="F149" i="4"/>
  <c r="P23" i="4" s="1"/>
  <c r="F148" i="4"/>
  <c r="F147" i="4"/>
  <c r="F146" i="4"/>
  <c r="F145" i="4"/>
  <c r="F137" i="4"/>
  <c r="Q56" i="4"/>
  <c r="W56" i="4" s="1"/>
  <c r="Q60" i="4"/>
  <c r="W60" i="4" s="1"/>
  <c r="P24" i="4" l="1"/>
  <c r="P25" i="4"/>
  <c r="Q25" i="4" s="1"/>
  <c r="W25" i="4" s="1"/>
  <c r="P26" i="4"/>
  <c r="Q26" i="4" s="1"/>
  <c r="W26" i="4" s="1"/>
  <c r="H47" i="4"/>
  <c r="H48" i="4"/>
  <c r="H49" i="4"/>
  <c r="H50" i="4"/>
  <c r="H51" i="4"/>
  <c r="H46" i="4"/>
  <c r="G47" i="4"/>
  <c r="Q47" i="4" s="1"/>
  <c r="W47" i="4" s="1"/>
  <c r="G48" i="4"/>
  <c r="Q48" i="4" s="1"/>
  <c r="W48" i="4" s="1"/>
  <c r="G49" i="4"/>
  <c r="Q49" i="4" s="1"/>
  <c r="W49" i="4" s="1"/>
  <c r="G50" i="4"/>
  <c r="G51" i="4"/>
  <c r="G46" i="4"/>
  <c r="Q46" i="4" s="1"/>
  <c r="W46" i="4" s="1"/>
  <c r="I35" i="4"/>
  <c r="I36" i="4"/>
  <c r="I37" i="4"/>
  <c r="I38" i="4"/>
  <c r="I39" i="4"/>
  <c r="I40" i="4"/>
  <c r="I41" i="4"/>
  <c r="Q23" i="4"/>
  <c r="W23" i="4" s="1"/>
  <c r="Q24" i="4"/>
  <c r="W24" i="4" s="1"/>
  <c r="Q22" i="4"/>
  <c r="W22" i="4" s="1"/>
  <c r="I46" i="4" l="1"/>
  <c r="W52" i="4"/>
  <c r="P101" i="4"/>
  <c r="Q101" i="4" s="1"/>
  <c r="P100" i="4"/>
  <c r="Q100" i="4" s="1"/>
  <c r="Q99" i="4"/>
  <c r="W97" i="4"/>
  <c r="W100" i="4" s="1"/>
  <c r="W69" i="4"/>
  <c r="W70" i="4"/>
  <c r="W71" i="4"/>
  <c r="W15" i="4"/>
  <c r="W16" i="4"/>
  <c r="W17" i="4"/>
  <c r="P88" i="4"/>
  <c r="Q88" i="4" s="1"/>
  <c r="P89" i="4"/>
  <c r="Q89" i="4" s="1"/>
  <c r="P90" i="4"/>
  <c r="Q90" i="4" s="1"/>
  <c r="P87" i="4"/>
  <c r="Q87" i="4" s="1"/>
  <c r="P86" i="4"/>
  <c r="Q86" i="4" s="1"/>
  <c r="P85" i="4"/>
  <c r="Q85" i="4" s="1"/>
  <c r="P84" i="4"/>
  <c r="Q84" i="4" s="1"/>
  <c r="R104" i="4"/>
  <c r="R105" i="4"/>
  <c r="T106" i="4"/>
  <c r="T107" i="4"/>
  <c r="T108" i="4"/>
  <c r="T109" i="4"/>
  <c r="T110" i="4"/>
  <c r="R110" i="4"/>
  <c r="R109" i="4"/>
  <c r="R108" i="4"/>
  <c r="R107" i="4"/>
  <c r="R106" i="4"/>
  <c r="T67" i="4"/>
  <c r="U67" i="4"/>
  <c r="T68" i="4"/>
  <c r="U68" i="4"/>
  <c r="T69" i="4"/>
  <c r="U69" i="4"/>
  <c r="T70" i="4"/>
  <c r="U70" i="4"/>
  <c r="T71" i="4"/>
  <c r="U71" i="4"/>
  <c r="U66" i="4"/>
  <c r="T66" i="4"/>
  <c r="Q69" i="4"/>
  <c r="Q70" i="4"/>
  <c r="Q71" i="4"/>
  <c r="F134" i="4"/>
  <c r="P12" i="4" s="1"/>
  <c r="Q12" i="4" s="1"/>
  <c r="F135" i="4"/>
  <c r="P13" i="4" s="1"/>
  <c r="U13" i="4"/>
  <c r="U14" i="4"/>
  <c r="U15" i="4"/>
  <c r="U16" i="4"/>
  <c r="U17" i="4"/>
  <c r="U12" i="4"/>
  <c r="T13" i="4"/>
  <c r="T14" i="4"/>
  <c r="T15" i="4"/>
  <c r="T16" i="4"/>
  <c r="T17" i="4"/>
  <c r="T12" i="4"/>
  <c r="S13" i="4"/>
  <c r="S14" i="4"/>
  <c r="S15" i="4"/>
  <c r="S16" i="4"/>
  <c r="S17" i="4"/>
  <c r="S12" i="4"/>
  <c r="P15" i="4"/>
  <c r="Q15" i="4" s="1"/>
  <c r="P16" i="4"/>
  <c r="Q16" i="4" s="1"/>
  <c r="P17" i="4"/>
  <c r="Q17" i="4" s="1"/>
  <c r="G104" i="4"/>
  <c r="G110" i="4" s="1"/>
  <c r="L116" i="4" s="1"/>
  <c r="F179" i="4"/>
  <c r="F182" i="4"/>
  <c r="S157" i="4"/>
  <c r="S147" i="4"/>
  <c r="G95" i="4"/>
  <c r="G100" i="4" s="1"/>
  <c r="V40" i="4"/>
  <c r="V41" i="4"/>
  <c r="V29" i="4"/>
  <c r="W30" i="4" s="1"/>
  <c r="V17" i="4"/>
  <c r="J38" i="4"/>
  <c r="J39" i="4"/>
  <c r="J40" i="4"/>
  <c r="J41" i="4"/>
  <c r="E18" i="4"/>
  <c r="E30" i="4"/>
  <c r="E42" i="4"/>
  <c r="E52" i="4"/>
  <c r="E72" i="4"/>
  <c r="E80" i="4"/>
  <c r="F76" i="4"/>
  <c r="H76" i="4" s="1"/>
  <c r="I76" i="4"/>
  <c r="J78" i="4"/>
  <c r="J79" i="4"/>
  <c r="H78" i="4"/>
  <c r="H79" i="4"/>
  <c r="I77" i="4"/>
  <c r="I78" i="4"/>
  <c r="I79" i="4"/>
  <c r="F77" i="4"/>
  <c r="H77" i="4" s="1"/>
  <c r="Q77" i="4" s="1"/>
  <c r="W77" i="4" s="1"/>
  <c r="F78" i="4"/>
  <c r="F79" i="4"/>
  <c r="Q57" i="4"/>
  <c r="W57" i="4" s="1"/>
  <c r="Q58" i="4"/>
  <c r="W58" i="4" s="1"/>
  <c r="Q59" i="4"/>
  <c r="W59" i="4" s="1"/>
  <c r="I50" i="4"/>
  <c r="I51" i="4"/>
  <c r="L67" i="4"/>
  <c r="L68" i="4"/>
  <c r="L69" i="4"/>
  <c r="M69" i="4" s="1"/>
  <c r="L70" i="4"/>
  <c r="M70" i="4" s="1"/>
  <c r="L71" i="4"/>
  <c r="M71" i="4" s="1"/>
  <c r="S163" i="4"/>
  <c r="S148" i="4"/>
  <c r="S152" i="4"/>
  <c r="F178" i="4"/>
  <c r="F177" i="4"/>
  <c r="P35" i="4" s="1"/>
  <c r="Q35" i="4" s="1"/>
  <c r="W35" i="4" s="1"/>
  <c r="F181" i="4"/>
  <c r="P38" i="4" s="1"/>
  <c r="Q38" i="4" s="1"/>
  <c r="W38" i="4" s="1"/>
  <c r="K58" i="1"/>
  <c r="I55" i="1"/>
  <c r="L55" i="1" s="1"/>
  <c r="I56" i="1"/>
  <c r="J56" i="1" s="1"/>
  <c r="I57" i="1"/>
  <c r="L57" i="1" s="1"/>
  <c r="E58" i="1"/>
  <c r="F58" i="1"/>
  <c r="G58" i="1"/>
  <c r="D58" i="1"/>
  <c r="S164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0" i="4"/>
  <c r="F175" i="4"/>
  <c r="F174" i="4"/>
  <c r="F173" i="4"/>
  <c r="F172" i="4"/>
  <c r="F171" i="4"/>
  <c r="F170" i="4"/>
  <c r="F169" i="4"/>
  <c r="F167" i="4"/>
  <c r="S162" i="4"/>
  <c r="F166" i="4"/>
  <c r="S161" i="4"/>
  <c r="F165" i="4"/>
  <c r="S160" i="4"/>
  <c r="F164" i="4"/>
  <c r="S159" i="4"/>
  <c r="F163" i="4"/>
  <c r="S158" i="4"/>
  <c r="F162" i="4"/>
  <c r="F161" i="4"/>
  <c r="S156" i="4"/>
  <c r="F159" i="4"/>
  <c r="S155" i="4"/>
  <c r="F158" i="4"/>
  <c r="S154" i="4"/>
  <c r="F157" i="4"/>
  <c r="S153" i="4"/>
  <c r="F156" i="4"/>
  <c r="F155" i="4"/>
  <c r="S151" i="4"/>
  <c r="F154" i="4"/>
  <c r="S150" i="4"/>
  <c r="F153" i="4"/>
  <c r="S149" i="4"/>
  <c r="S146" i="4"/>
  <c r="S145" i="4"/>
  <c r="S144" i="4"/>
  <c r="S143" i="4"/>
  <c r="S142" i="4"/>
  <c r="E62" i="4"/>
  <c r="I47" i="1"/>
  <c r="P14" i="4" l="1"/>
  <c r="Q14" i="4" s="1"/>
  <c r="W14" i="4" s="1"/>
  <c r="J47" i="1"/>
  <c r="H53" i="1"/>
  <c r="I53" i="1" s="1"/>
  <c r="L53" i="1" s="1"/>
  <c r="D59" i="1"/>
  <c r="P37" i="4"/>
  <c r="Q37" i="4" s="1"/>
  <c r="W37" i="4" s="1"/>
  <c r="P39" i="4"/>
  <c r="Q39" i="4" s="1"/>
  <c r="W39" i="4" s="1"/>
  <c r="Q68" i="4"/>
  <c r="W68" i="4" s="1"/>
  <c r="H52" i="1"/>
  <c r="I52" i="1" s="1"/>
  <c r="F59" i="1"/>
  <c r="K59" i="1"/>
  <c r="J55" i="1"/>
  <c r="L56" i="1"/>
  <c r="L47" i="1"/>
  <c r="J76" i="4"/>
  <c r="Q76" i="4"/>
  <c r="W76" i="4" s="1"/>
  <c r="W80" i="4" s="1"/>
  <c r="P36" i="4"/>
  <c r="Q36" i="4" s="1"/>
  <c r="W36" i="4" s="1"/>
  <c r="P34" i="4"/>
  <c r="Q34" i="4" s="1"/>
  <c r="W34" i="4" s="1"/>
  <c r="J57" i="1"/>
  <c r="W62" i="4"/>
  <c r="J77" i="4"/>
  <c r="G52" i="4"/>
  <c r="I48" i="4"/>
  <c r="M66" i="4"/>
  <c r="I49" i="4"/>
  <c r="I47" i="4"/>
  <c r="J36" i="4"/>
  <c r="I30" i="4"/>
  <c r="J37" i="4"/>
  <c r="J35" i="4"/>
  <c r="W12" i="4"/>
  <c r="H72" i="4"/>
  <c r="Q13" i="4"/>
  <c r="W13" i="4" s="1"/>
  <c r="H42" i="4"/>
  <c r="H62" i="4"/>
  <c r="H18" i="4"/>
  <c r="H80" i="4"/>
  <c r="J53" i="1" l="1"/>
  <c r="E59" i="1"/>
  <c r="J80" i="4"/>
  <c r="M68" i="4"/>
  <c r="W42" i="4"/>
  <c r="J52" i="1"/>
  <c r="L52" i="1"/>
  <c r="I51" i="1"/>
  <c r="Q66" i="4"/>
  <c r="W66" i="4" s="1"/>
  <c r="J62" i="4"/>
  <c r="I52" i="4"/>
  <c r="W18" i="4"/>
  <c r="K30" i="4"/>
  <c r="J18" i="4"/>
  <c r="J42" i="4"/>
  <c r="L51" i="1" l="1"/>
  <c r="J51" i="1"/>
  <c r="K72" i="4"/>
  <c r="M67" i="4"/>
  <c r="M72" i="4" s="1"/>
  <c r="L115" i="4" s="1"/>
  <c r="Q67" i="4"/>
  <c r="W67" i="4" s="1"/>
  <c r="W72" i="4" s="1"/>
  <c r="L114" i="4" s="1"/>
  <c r="S105" i="4" l="1"/>
  <c r="T105" i="4" s="1"/>
  <c r="S104" i="4"/>
  <c r="T104" i="4" s="1"/>
  <c r="T111" i="4" l="1"/>
  <c r="L117" i="4" s="1"/>
  <c r="L118" i="4" s="1"/>
  <c r="G28" i="1" s="1"/>
  <c r="H58" i="1"/>
  <c r="H59" i="1" s="1"/>
  <c r="I54" i="1"/>
  <c r="J54" i="1" s="1"/>
  <c r="J58" i="1" s="1"/>
  <c r="G43" i="1" l="1"/>
  <c r="I28" i="1"/>
  <c r="I58" i="1"/>
  <c r="L54" i="1"/>
  <c r="J28" i="1" l="1"/>
  <c r="J43" i="1" s="1"/>
  <c r="J44" i="1" s="1"/>
  <c r="L28" i="1"/>
  <c r="L43" i="1" s="1"/>
  <c r="L44" i="1" s="1"/>
  <c r="L48" i="1" s="1"/>
  <c r="I43" i="1"/>
  <c r="G48" i="1"/>
  <c r="G59" i="1" s="1"/>
  <c r="G44" i="1"/>
  <c r="L58" i="1"/>
  <c r="I44" i="1" l="1"/>
  <c r="I48" i="1"/>
  <c r="L59" i="1"/>
  <c r="J48" i="1" l="1"/>
  <c r="J59" i="1" s="1"/>
  <c r="I59" i="1"/>
  <c r="O54" i="1" l="1"/>
  <c r="O57" i="1"/>
  <c r="O55" i="1"/>
  <c r="O56" i="1"/>
</calcChain>
</file>

<file path=xl/sharedStrings.xml><?xml version="1.0" encoding="utf-8"?>
<sst xmlns="http://schemas.openxmlformats.org/spreadsheetml/2006/main" count="750" uniqueCount="388">
  <si>
    <t>Project:</t>
  </si>
  <si>
    <t>Office/Warehouse</t>
  </si>
  <si>
    <t>Address:</t>
  </si>
  <si>
    <t>1234 Campus Drive, Orem</t>
  </si>
  <si>
    <t>Bldg SF:</t>
  </si>
  <si>
    <t>Estimator:</t>
  </si>
  <si>
    <t>Rob Warcup</t>
  </si>
  <si>
    <t>Self-Performed Work</t>
  </si>
  <si>
    <t>Labor</t>
  </si>
  <si>
    <t>Material</t>
  </si>
  <si>
    <t>Equip</t>
  </si>
  <si>
    <t>Subs</t>
  </si>
  <si>
    <t>Other</t>
  </si>
  <si>
    <t>Estimate</t>
  </si>
  <si>
    <t>$/SF</t>
  </si>
  <si>
    <t>Actual</t>
  </si>
  <si>
    <t>Variance</t>
  </si>
  <si>
    <t>Excavation &amp; Backfill</t>
  </si>
  <si>
    <t>Formwork</t>
  </si>
  <si>
    <t>Concrete Work</t>
  </si>
  <si>
    <t>Misc. Concrete Work</t>
  </si>
  <si>
    <t>Masonry Work</t>
  </si>
  <si>
    <t>Subtotal</t>
  </si>
  <si>
    <t>Running Total</t>
  </si>
  <si>
    <t>Subcontractors</t>
  </si>
  <si>
    <t>Finish Hardware Allowance</t>
  </si>
  <si>
    <t>Site Paving</t>
  </si>
  <si>
    <t>Landscaping</t>
  </si>
  <si>
    <t>Piling</t>
  </si>
  <si>
    <t>Reinforcing Steel</t>
  </si>
  <si>
    <t>Steel Building</t>
  </si>
  <si>
    <t>Misc. Steel</t>
  </si>
  <si>
    <t>Carpentry</t>
  </si>
  <si>
    <t>Millwork &amp; Wood Doors</t>
  </si>
  <si>
    <t>Roofing</t>
  </si>
  <si>
    <t>Caulking &amp; Damp-proofing</t>
  </si>
  <si>
    <t>Hollow Metal Doors &amp; Frames</t>
  </si>
  <si>
    <t>Overhead Doors</t>
  </si>
  <si>
    <t>Windows</t>
  </si>
  <si>
    <t>Resilient Floors</t>
  </si>
  <si>
    <t>Drywall</t>
  </si>
  <si>
    <t>Acoustic Ceiling</t>
  </si>
  <si>
    <t>Painting</t>
  </si>
  <si>
    <t>Toilet Partitions</t>
  </si>
  <si>
    <t>Washroom Accessories</t>
  </si>
  <si>
    <t>Plumbing &amp; HVAC</t>
  </si>
  <si>
    <t>Electrical</t>
  </si>
  <si>
    <t>General Expenses</t>
  </si>
  <si>
    <t>General Expenses Subtotal</t>
  </si>
  <si>
    <t>Add-Ons</t>
  </si>
  <si>
    <t>Small Tools (% of Labor)</t>
  </si>
  <si>
    <t>Payroll Additive (% of Labor)</t>
  </si>
  <si>
    <t>State Taxes (% of Mat'l)</t>
  </si>
  <si>
    <t>Building Permit ($6 for every $1000 of Bid)</t>
  </si>
  <si>
    <t>50% Bond ($7.25 for every $1000 of Bid)</t>
  </si>
  <si>
    <t>Insurance ($3 for every $1000 of Bid)</t>
  </si>
  <si>
    <t>Fee</t>
  </si>
  <si>
    <t>Bid Total/Running Total</t>
  </si>
  <si>
    <t>PT bottom plate</t>
  </si>
  <si>
    <t>Double top plate</t>
  </si>
  <si>
    <t>116-5/8" studs</t>
  </si>
  <si>
    <t>Headers: 3-1/2x9-1/2" LVL over all doorways (no windows)</t>
  </si>
  <si>
    <t>3/4" OSB Sheathing on roof and under siding</t>
  </si>
  <si>
    <t>PT plate on top of CMU wall</t>
  </si>
  <si>
    <t>1/12 slope on roof sheathing</t>
  </si>
  <si>
    <t>Pressure Treated Material 2x4 &amp; 2x6</t>
  </si>
  <si>
    <t>Net LF*W/St L</t>
  </si>
  <si>
    <t>Area Description</t>
  </si>
  <si>
    <t>Mat'l Description</t>
  </si>
  <si>
    <t>Net (LF)</t>
  </si>
  <si>
    <t>Waste</t>
  </si>
  <si>
    <t>Stick Lngth'</t>
  </si>
  <si>
    <t>#Pcs</t>
  </si>
  <si>
    <t>$/Stick</t>
  </si>
  <si>
    <t>Ext. Total</t>
  </si>
  <si>
    <t>BF/Pc</t>
  </si>
  <si>
    <t>BF Total</t>
  </si>
  <si>
    <t>Operation</t>
  </si>
  <si>
    <t>Prod. UOM</t>
  </si>
  <si>
    <t>Low</t>
  </si>
  <si>
    <t>High</t>
  </si>
  <si>
    <t>Select Prod.</t>
  </si>
  <si>
    <t>Ext. Hrs.</t>
  </si>
  <si>
    <t>2x4 Bottom Plate</t>
  </si>
  <si>
    <t>2x4x16 Pressure Treated</t>
  </si>
  <si>
    <t>2x4 Plates</t>
  </si>
  <si>
    <t>2x6 Bottom Plate</t>
  </si>
  <si>
    <t>2x6x16 Pressure Treated</t>
  </si>
  <si>
    <t>2x6 Plates</t>
  </si>
  <si>
    <t>2x4 Garage Bottom Plate</t>
  </si>
  <si>
    <t>Plate Material 2x4 &amp; 2x6</t>
  </si>
  <si>
    <t>Net LF*W/St L*# Pl</t>
  </si>
  <si>
    <t>Stick Length'</t>
  </si>
  <si>
    <t># Plates</t>
  </si>
  <si>
    <t># Pcs</t>
  </si>
  <si>
    <t>2x4 Basement Dbl Top</t>
  </si>
  <si>
    <t xml:space="preserve">2x4x16 </t>
  </si>
  <si>
    <t>2x6 Basement Dbl Top</t>
  </si>
  <si>
    <t xml:space="preserve">2x6x16 </t>
  </si>
  <si>
    <t xml:space="preserve">2x6 Main Floor Ext. </t>
  </si>
  <si>
    <t>2x4 Main Floor Int.</t>
  </si>
  <si>
    <t>2x4 Garage</t>
  </si>
  <si>
    <t>Bracing</t>
  </si>
  <si>
    <t xml:space="preserve">2x4x12 </t>
  </si>
  <si>
    <t>Studs</t>
  </si>
  <si>
    <t>LF Wall*Mult</t>
  </si>
  <si>
    <t>Stud Size</t>
  </si>
  <si>
    <t>LF Wall</t>
  </si>
  <si>
    <t>OC Spacing</t>
  </si>
  <si>
    <t>Multiplier</t>
  </si>
  <si>
    <t>$/Stud</t>
  </si>
  <si>
    <t>2x6 Ext Walls</t>
  </si>
  <si>
    <t>2x6x92-5/8</t>
  </si>
  <si>
    <t>16" OC</t>
  </si>
  <si>
    <t>2x6 Studs</t>
  </si>
  <si>
    <t>2x4 Int Walls</t>
  </si>
  <si>
    <t>2x4x92-5/8</t>
  </si>
  <si>
    <t>24" OC</t>
  </si>
  <si>
    <t>2x4 Studs</t>
  </si>
  <si>
    <t>2x6 Bath</t>
  </si>
  <si>
    <t>2x4 Garage Walls</t>
  </si>
  <si>
    <t>2x4x116-5/8</t>
  </si>
  <si>
    <t>2x6 Main Floor Ext Walls</t>
  </si>
  <si>
    <t>2x6x104-5/8</t>
  </si>
  <si>
    <t>2x4 Main Floor Int Walls</t>
  </si>
  <si>
    <t>2x4x104-5/8</t>
  </si>
  <si>
    <t>Joists</t>
  </si>
  <si>
    <t>Length*# Joists</t>
  </si>
  <si>
    <t>Mat'l Descr.</t>
  </si>
  <si>
    <t>Length'</t>
  </si>
  <si>
    <t>#joists</t>
  </si>
  <si>
    <t>LF</t>
  </si>
  <si>
    <t>$/LF</t>
  </si>
  <si>
    <t>LF/1'</t>
  </si>
  <si>
    <t>LF Total</t>
  </si>
  <si>
    <t>Exam 1 &amp; reception</t>
  </si>
  <si>
    <t xml:space="preserve">2-1/2" x 16" I-Joist </t>
  </si>
  <si>
    <t>16" Joists/Rim</t>
  </si>
  <si>
    <t>Waiting</t>
  </si>
  <si>
    <t>Waiting &amp; Restrooms</t>
  </si>
  <si>
    <t>Exam 2 &amp; 3</t>
  </si>
  <si>
    <t xml:space="preserve">3-1/2" x 16" I-Joist </t>
  </si>
  <si>
    <t>Wall &amp; Floor Sheathing</t>
  </si>
  <si>
    <t>SF/P-SF*W</t>
  </si>
  <si>
    <t>SF</t>
  </si>
  <si>
    <t>Panel SF</t>
  </si>
  <si>
    <t># Panels</t>
  </si>
  <si>
    <t>$/Panel</t>
  </si>
  <si>
    <t>SF/Pc</t>
  </si>
  <si>
    <t>SF Total</t>
  </si>
  <si>
    <t>Front Elev</t>
  </si>
  <si>
    <t>4x10 x 3/8" OSB</t>
  </si>
  <si>
    <t>Wall Sheathing</t>
  </si>
  <si>
    <t>Rt Elev</t>
  </si>
  <si>
    <t>Lt Elev</t>
  </si>
  <si>
    <t>Rear Elev</t>
  </si>
  <si>
    <t>2nd floor</t>
  </si>
  <si>
    <t>4x8 x 3/4" OSB T&amp;G</t>
  </si>
  <si>
    <t>T&amp;G Floors</t>
  </si>
  <si>
    <t>Roof Sheathing</t>
  </si>
  <si>
    <t>SF(2D)/P-SF*W</t>
  </si>
  <si>
    <t>#P(2D)*M</t>
  </si>
  <si>
    <t>SF (2D)</t>
  </si>
  <si>
    <t># Panels (2D)</t>
  </si>
  <si>
    <t>Slope/12</t>
  </si>
  <si>
    <t>Mult.</t>
  </si>
  <si>
    <t>Common Truss/Main Roof</t>
  </si>
  <si>
    <t>4x8 x 1/2" OSB</t>
  </si>
  <si>
    <t>Front Garage Gable</t>
  </si>
  <si>
    <t>Outbuilding</t>
  </si>
  <si>
    <t>Rimboard</t>
  </si>
  <si>
    <t>LF/Rim L'*W</t>
  </si>
  <si>
    <t>LF of Rim</t>
  </si>
  <si>
    <t>Rim Length'</t>
  </si>
  <si>
    <t>LF/Pc</t>
  </si>
  <si>
    <t>2nd Floor Rim</t>
  </si>
  <si>
    <t>1-1/8" x 16" x 20' Rim</t>
  </si>
  <si>
    <t>1st Floor Rim</t>
  </si>
  <si>
    <t>Header Material</t>
  </si>
  <si>
    <t>?</t>
  </si>
  <si>
    <t>Trusses</t>
  </si>
  <si>
    <t>Description</t>
  </si>
  <si>
    <t>UOM</t>
  </si>
  <si>
    <t>$/Unit</t>
  </si>
  <si>
    <t>Qty</t>
  </si>
  <si>
    <t>X</t>
  </si>
  <si>
    <t>No. Total</t>
  </si>
  <si>
    <t>Truss Package</t>
  </si>
  <si>
    <t>LS</t>
  </si>
  <si>
    <t>Trusses 24'-40' Span</t>
  </si>
  <si>
    <t>Equipment</t>
  </si>
  <si>
    <t>Labor Costs</t>
  </si>
  <si>
    <r>
      <t xml:space="preserve">Auto-populated </t>
    </r>
    <r>
      <rPr>
        <b/>
        <sz val="11"/>
        <color theme="0" tint="-0.249977111117893"/>
        <rFont val="Calibri"/>
        <family val="2"/>
        <scheme val="minor"/>
      </rPr>
      <t>Labor Hrs</t>
    </r>
    <r>
      <rPr>
        <sz val="11"/>
        <color theme="0" tint="-0.249977111117893"/>
        <rFont val="Calibri"/>
        <family val="2"/>
        <scheme val="minor"/>
      </rPr>
      <t xml:space="preserve"> from Estimate Summary</t>
    </r>
  </si>
  <si>
    <t># Hrs,Days</t>
  </si>
  <si>
    <t>Crew Member</t>
  </si>
  <si>
    <t>Allocation</t>
  </si>
  <si>
    <t>$/Hr</t>
  </si>
  <si>
    <t>Total Hrs</t>
  </si>
  <si>
    <t>Crane Rental</t>
  </si>
  <si>
    <t>Hrs</t>
  </si>
  <si>
    <t>Foreman</t>
  </si>
  <si>
    <t>Gradall Lift</t>
  </si>
  <si>
    <t>Days</t>
  </si>
  <si>
    <t>Carpenter</t>
  </si>
  <si>
    <t>BF/LF/SF</t>
  </si>
  <si>
    <t>Total BF/LF/SF</t>
  </si>
  <si>
    <t>Estimate Summary</t>
  </si>
  <si>
    <t>Total Project Hours</t>
  </si>
  <si>
    <t>Material $</t>
  </si>
  <si>
    <t>Equipment $</t>
  </si>
  <si>
    <t>Labor $</t>
  </si>
  <si>
    <t>Total Estimate</t>
  </si>
  <si>
    <t>Lumber Database</t>
  </si>
  <si>
    <t>Framing Crew</t>
  </si>
  <si>
    <t>Time Alloc.</t>
  </si>
  <si>
    <t>SF/BF/LF</t>
  </si>
  <si>
    <t>Pressure Treated</t>
  </si>
  <si>
    <t>OSB Panels</t>
  </si>
  <si>
    <t>Pc</t>
  </si>
  <si>
    <t>4x8 x 3/8" OSB</t>
  </si>
  <si>
    <t>Sheet</t>
  </si>
  <si>
    <t>Production Rates</t>
  </si>
  <si>
    <t>4x9 x 3/8" OSB</t>
  </si>
  <si>
    <t>Low Output</t>
  </si>
  <si>
    <t>High Output</t>
  </si>
  <si>
    <t>Prod UOM</t>
  </si>
  <si>
    <t>Tele Post</t>
  </si>
  <si>
    <t>No./Hr</t>
  </si>
  <si>
    <t>2x4</t>
  </si>
  <si>
    <r>
      <rPr>
        <sz val="11"/>
        <color theme="1"/>
        <rFont val="Calibri"/>
        <family val="2"/>
        <scheme val="minor"/>
      </rPr>
      <t xml:space="preserve">2x4x8 </t>
    </r>
  </si>
  <si>
    <t>2x3 Plates</t>
  </si>
  <si>
    <t>BF/Hr</t>
  </si>
  <si>
    <r>
      <rPr>
        <sz val="11"/>
        <color theme="1"/>
        <rFont val="Calibri"/>
        <family val="2"/>
        <scheme val="minor"/>
      </rPr>
      <t xml:space="preserve">2x4x10 </t>
    </r>
  </si>
  <si>
    <t>4x9 x 1/2" OSB</t>
  </si>
  <si>
    <r>
      <rPr>
        <sz val="11"/>
        <color theme="1"/>
        <rFont val="Calibri"/>
        <family val="2"/>
        <scheme val="minor"/>
      </rPr>
      <t xml:space="preserve">2x4x12 </t>
    </r>
  </si>
  <si>
    <t>4x10 x 1/2" OSB</t>
  </si>
  <si>
    <r>
      <rPr>
        <sz val="11"/>
        <color theme="1"/>
        <rFont val="Calibri"/>
        <family val="2"/>
        <scheme val="minor"/>
      </rPr>
      <t xml:space="preserve">2x4x14 </t>
    </r>
  </si>
  <si>
    <t>2x3 Studs</t>
  </si>
  <si>
    <r>
      <rPr>
        <sz val="11"/>
        <color theme="1"/>
        <rFont val="Calibri"/>
        <family val="2"/>
        <scheme val="minor"/>
      </rPr>
      <t xml:space="preserve">2x4x16 </t>
    </r>
  </si>
  <si>
    <r>
      <rPr>
        <sz val="11"/>
        <color theme="1"/>
        <rFont val="Calibri"/>
        <family val="2"/>
        <scheme val="minor"/>
      </rPr>
      <t xml:space="preserve">2x4x18 </t>
    </r>
  </si>
  <si>
    <t>LSL</t>
  </si>
  <si>
    <t>1-3/4" x 9-1/2" LSL</t>
  </si>
  <si>
    <r>
      <rPr>
        <sz val="11"/>
        <color theme="1"/>
        <rFont val="Calibri"/>
        <family val="2"/>
        <scheme val="minor"/>
      </rPr>
      <t xml:space="preserve">2x4x20 </t>
    </r>
  </si>
  <si>
    <t>1-3/4" x 11-7/8" LSL</t>
  </si>
  <si>
    <t>2x8 Built up Beam</t>
  </si>
  <si>
    <t>2x6</t>
  </si>
  <si>
    <t>1-3/4" x 14" LSL</t>
  </si>
  <si>
    <t>2x10 Built up Beam</t>
  </si>
  <si>
    <r>
      <rPr>
        <sz val="11"/>
        <color theme="1"/>
        <rFont val="Calibri"/>
        <family val="2"/>
        <scheme val="minor"/>
      </rPr>
      <t xml:space="preserve">2x6x8 </t>
    </r>
  </si>
  <si>
    <t>3-1/2" x 3-1/2" LSL</t>
  </si>
  <si>
    <t>9-1/2" Joists/Fim</t>
  </si>
  <si>
    <t>LF/Hr</t>
  </si>
  <si>
    <r>
      <rPr>
        <sz val="11"/>
        <color theme="1"/>
        <rFont val="Calibri"/>
        <family val="2"/>
        <scheme val="minor"/>
      </rPr>
      <t xml:space="preserve">2x6x10 </t>
    </r>
  </si>
  <si>
    <t>3-1/2" x 5-1/2" LSL</t>
  </si>
  <si>
    <t>11-7/8" Joists/Rimi</t>
  </si>
  <si>
    <r>
      <rPr>
        <sz val="11"/>
        <color theme="1"/>
        <rFont val="Calibri"/>
        <family val="2"/>
        <scheme val="minor"/>
      </rPr>
      <t xml:space="preserve">2x6x12 </t>
    </r>
  </si>
  <si>
    <t>3-1/2" x 7-1/4" LSL</t>
  </si>
  <si>
    <t>14" Joists/Rim</t>
  </si>
  <si>
    <r>
      <rPr>
        <sz val="11"/>
        <color theme="1"/>
        <rFont val="Calibri"/>
        <family val="2"/>
        <scheme val="minor"/>
      </rPr>
      <t xml:space="preserve">2x6x14 </t>
    </r>
  </si>
  <si>
    <t>3-1/2" x 9-1/2" LSL</t>
  </si>
  <si>
    <r>
      <rPr>
        <sz val="11"/>
        <color theme="1"/>
        <rFont val="Calibri"/>
        <family val="2"/>
        <scheme val="minor"/>
      </rPr>
      <t xml:space="preserve">2x6x16 </t>
    </r>
  </si>
  <si>
    <t>3-1/2" x 11-7/8" LSL</t>
  </si>
  <si>
    <t>20+": Joists/Rim</t>
  </si>
  <si>
    <r>
      <rPr>
        <sz val="11"/>
        <color theme="1"/>
        <rFont val="Calibri"/>
        <family val="2"/>
        <scheme val="minor"/>
      </rPr>
      <t xml:space="preserve">2x6x18 </t>
    </r>
  </si>
  <si>
    <t>3-1/2" x 14" LSL</t>
  </si>
  <si>
    <t>2x2 Blocking</t>
  </si>
  <si>
    <r>
      <rPr>
        <sz val="11"/>
        <color theme="1"/>
        <rFont val="Calibri"/>
        <family val="2"/>
        <scheme val="minor"/>
      </rPr>
      <t xml:space="preserve">2x6x20 </t>
    </r>
  </si>
  <si>
    <t>LVL</t>
  </si>
  <si>
    <t>1-1/2" x 3-1/2" LVL</t>
  </si>
  <si>
    <t>2x4 Blocking</t>
  </si>
  <si>
    <t>2x8</t>
  </si>
  <si>
    <t>1-1/2" x 5-1/2" LVL</t>
  </si>
  <si>
    <t>2x6 Blocking</t>
  </si>
  <si>
    <t xml:space="preserve">2x8x8 </t>
  </si>
  <si>
    <t>1-3/4" x 9-1/2" LVL</t>
  </si>
  <si>
    <t>2x8 Blocking</t>
  </si>
  <si>
    <t xml:space="preserve">2x8x10 </t>
  </si>
  <si>
    <t>1-3/4" x 11-7/8" LVL</t>
  </si>
  <si>
    <t xml:space="preserve">2x8x12 </t>
  </si>
  <si>
    <t>1-3/4" x 14" LVL</t>
  </si>
  <si>
    <t>2x6 Rafters</t>
  </si>
  <si>
    <t xml:space="preserve">2x8x14 </t>
  </si>
  <si>
    <t>1-3/4" x 16" LVL</t>
  </si>
  <si>
    <t>2x4 Lookouts</t>
  </si>
  <si>
    <t xml:space="preserve">2x8x16 </t>
  </si>
  <si>
    <t>3-1/2" x 9-1/2" LVL</t>
  </si>
  <si>
    <t>2x4 Facia</t>
  </si>
  <si>
    <t xml:space="preserve">2x8x18 </t>
  </si>
  <si>
    <t>3-1/2" x 11-7/8" LVL</t>
  </si>
  <si>
    <t>2x6 Facia</t>
  </si>
  <si>
    <t xml:space="preserve">2x8x20 </t>
  </si>
  <si>
    <t>3-1/2" x 14" LVL</t>
  </si>
  <si>
    <t>SF/Hr</t>
  </si>
  <si>
    <t>2x10</t>
  </si>
  <si>
    <t>3-1/2" x 16" LVL</t>
  </si>
  <si>
    <t xml:space="preserve">2x10x8 </t>
  </si>
  <si>
    <t>GluLam</t>
  </si>
  <si>
    <t>5-1/8" x 9-1/2" GluLam</t>
  </si>
  <si>
    <t xml:space="preserve">2x10x10 </t>
  </si>
  <si>
    <t>5-1/8" x 11-7/8" GluLam</t>
  </si>
  <si>
    <t>Headers (Manufactured)</t>
  </si>
  <si>
    <t xml:space="preserve">2x10x12 </t>
  </si>
  <si>
    <t>5-1/8" x 14" GluLam</t>
  </si>
  <si>
    <t>Beams  (Manufactured)</t>
  </si>
  <si>
    <t xml:space="preserve">2x10x14 </t>
  </si>
  <si>
    <t>5-1/8" x 16" GluLam</t>
  </si>
  <si>
    <t>1/2" Ply Soffit</t>
  </si>
  <si>
    <t xml:space="preserve">2x10x16 </t>
  </si>
  <si>
    <t xml:space="preserve">Joists/Rim </t>
  </si>
  <si>
    <t>Aluminum Soffit</t>
  </si>
  <si>
    <t xml:space="preserve">2x10x18 </t>
  </si>
  <si>
    <t>I-Joist</t>
  </si>
  <si>
    <t xml:space="preserve">2" x 9-1/2" I-Joist </t>
  </si>
  <si>
    <t xml:space="preserve">2x10x20 </t>
  </si>
  <si>
    <t xml:space="preserve">2" x 11-7/8" I-Joist </t>
  </si>
  <si>
    <t>2x12</t>
  </si>
  <si>
    <t xml:space="preserve">2" x 14" I-Joist </t>
  </si>
  <si>
    <t xml:space="preserve">2x12x8 </t>
  </si>
  <si>
    <t xml:space="preserve">2" x 16" I-Joist </t>
  </si>
  <si>
    <t xml:space="preserve">2x12x10 </t>
  </si>
  <si>
    <t xml:space="preserve">2-1/2" x 9-1/2" I-Joist </t>
  </si>
  <si>
    <t>Rise</t>
  </si>
  <si>
    <t>Run</t>
  </si>
  <si>
    <t xml:space="preserve">2x12x12 </t>
  </si>
  <si>
    <t xml:space="preserve">2-1/2" x 11-7/8" I-Joist </t>
  </si>
  <si>
    <t xml:space="preserve">2x12x14 </t>
  </si>
  <si>
    <t xml:space="preserve">2-1/2" x 14" I-Joist </t>
  </si>
  <si>
    <t xml:space="preserve">2x12x16 </t>
  </si>
  <si>
    <t xml:space="preserve">2x12x18 </t>
  </si>
  <si>
    <t xml:space="preserve">3-1/2" x 9-1/2" I-Joist </t>
  </si>
  <si>
    <t xml:space="preserve">2x12x20 </t>
  </si>
  <si>
    <t xml:space="preserve">3-1/2" x 11-7/8" I-Joist </t>
  </si>
  <si>
    <t>Studs (Fir S4S KD)</t>
  </si>
  <si>
    <t xml:space="preserve">3-1/2" x 14" I-Joist </t>
  </si>
  <si>
    <t>Rim</t>
  </si>
  <si>
    <t>1-1/8" x 9-1/2" x 20' Rim</t>
  </si>
  <si>
    <t>1-1/8" x 11-7/8" x 20' Rim</t>
  </si>
  <si>
    <t>1-1/8" x 14" x 20' Rim</t>
  </si>
  <si>
    <t>2x6x116-5/8</t>
  </si>
  <si>
    <t>Posts (#2&amp;Btr Green DF)</t>
  </si>
  <si>
    <t>Stair Material</t>
  </si>
  <si>
    <t xml:space="preserve">4x4x8 </t>
  </si>
  <si>
    <t>1-1/4" x 11-7/8" OSL Stringer</t>
  </si>
  <si>
    <t>4x4x10</t>
  </si>
  <si>
    <t>12" x 12' Super Step Stair Tread</t>
  </si>
  <si>
    <t>4x4x12</t>
  </si>
  <si>
    <t>1" x 8" #2  KD Pine Riser</t>
  </si>
  <si>
    <t>4x4x14</t>
  </si>
  <si>
    <t>Deck Material</t>
  </si>
  <si>
    <t>4x4x16</t>
  </si>
  <si>
    <t>Trex 5/4x6x12</t>
  </si>
  <si>
    <t>Spacing</t>
  </si>
  <si>
    <t>4x4x18</t>
  </si>
  <si>
    <t>Trex 5/4x6x16</t>
  </si>
  <si>
    <t>12" OC</t>
  </si>
  <si>
    <t xml:space="preserve">4x6x8 </t>
  </si>
  <si>
    <t>Trex 5/4x6x20</t>
  </si>
  <si>
    <t>4x6x10</t>
  </si>
  <si>
    <t>Trex Rim 1x12x12</t>
  </si>
  <si>
    <t>19.2" OC</t>
  </si>
  <si>
    <t>4x6x12</t>
  </si>
  <si>
    <t>Hardware/Misc.</t>
  </si>
  <si>
    <t>4x6x14</t>
  </si>
  <si>
    <t>5/8x3" Sq Washer</t>
  </si>
  <si>
    <t>Ea</t>
  </si>
  <si>
    <t>4x6x16</t>
  </si>
  <si>
    <t>5/8 Hex Nut</t>
  </si>
  <si>
    <t>4x6x18</t>
  </si>
  <si>
    <t>5/8 Flat Washer</t>
  </si>
  <si>
    <t>Stick length</t>
  </si>
  <si>
    <t xml:space="preserve">6x6x8 </t>
  </si>
  <si>
    <t>3-1/2"x50' Foam Sill Seal</t>
  </si>
  <si>
    <t>Roll</t>
  </si>
  <si>
    <t>6x6x10</t>
  </si>
  <si>
    <t>5-1/2"x50' Foam Sill Seal</t>
  </si>
  <si>
    <t>6x6x12</t>
  </si>
  <si>
    <t>MD400 29 oz Constr. Adhesive</t>
  </si>
  <si>
    <t>Tube</t>
  </si>
  <si>
    <t>6x6x14</t>
  </si>
  <si>
    <t>H1</t>
  </si>
  <si>
    <t>6x6x16</t>
  </si>
  <si>
    <t>H2-5</t>
  </si>
  <si>
    <t>6x6x18</t>
  </si>
  <si>
    <t>Total</t>
  </si>
  <si>
    <t>4000 psi Concrete</t>
  </si>
  <si>
    <t>CY</t>
  </si>
  <si>
    <t>Plywood 3/4"</t>
  </si>
  <si>
    <t>2x10x16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</si>
</sst>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00"/>
    <numFmt numFmtId="167" formatCode="0.00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3" borderId="0" xfId="0" applyFont="1" applyFill="1"/>
    <xf numFmtId="0" fontId="0" fillId="3" borderId="0" xfId="0" applyFill="1"/>
    <xf numFmtId="0" fontId="1" fillId="0" borderId="0" xfId="0" applyFont="1" applyFill="1"/>
    <xf numFmtId="0" fontId="0" fillId="0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" xfId="0" applyFill="1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164" fontId="0" fillId="0" borderId="0" xfId="0" applyNumberFormat="1"/>
    <xf numFmtId="0" fontId="3" fillId="0" borderId="1" xfId="3" applyBorder="1"/>
    <xf numFmtId="0" fontId="5" fillId="0" borderId="0" xfId="0" applyFont="1" applyFill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8" fillId="0" borderId="0" xfId="0" applyFont="1"/>
    <xf numFmtId="0" fontId="0" fillId="0" borderId="0" xfId="0" applyFill="1" applyBorder="1"/>
    <xf numFmtId="0" fontId="0" fillId="0" borderId="0" xfId="0" applyAlignment="1"/>
    <xf numFmtId="0" fontId="9" fillId="0" borderId="0" xfId="0" applyFont="1" applyFill="1"/>
    <xf numFmtId="0" fontId="0" fillId="0" borderId="0" xfId="0" applyBorder="1"/>
    <xf numFmtId="0" fontId="1" fillId="4" borderId="6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1" fillId="0" borderId="0" xfId="0" applyFont="1" applyBorder="1"/>
    <xf numFmtId="0" fontId="0" fillId="0" borderId="9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" fillId="4" borderId="0" xfId="0" applyFont="1" applyFill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7" fillId="0" borderId="8" xfId="0" applyFont="1" applyBorder="1"/>
    <xf numFmtId="0" fontId="7" fillId="0" borderId="0" xfId="0" applyFont="1" applyBorder="1"/>
    <xf numFmtId="0" fontId="7" fillId="0" borderId="9" xfId="0" applyFont="1" applyBorder="1"/>
    <xf numFmtId="164" fontId="0" fillId="0" borderId="0" xfId="0" applyNumberFormat="1" applyBorder="1"/>
    <xf numFmtId="2" fontId="0" fillId="0" borderId="0" xfId="0" applyNumberForma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Fill="1" applyBorder="1"/>
    <xf numFmtId="0" fontId="0" fillId="0" borderId="8" xfId="0" applyFill="1" applyBorder="1"/>
    <xf numFmtId="0" fontId="0" fillId="0" borderId="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/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5" fillId="0" borderId="0" xfId="0" applyFont="1" applyAlignment="1">
      <alignment horizontal="left" vertical="center" indent="2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0" fillId="5" borderId="8" xfId="0" applyFill="1" applyBorder="1"/>
    <xf numFmtId="164" fontId="1" fillId="0" borderId="0" xfId="0" applyNumberFormat="1" applyFont="1"/>
    <xf numFmtId="0" fontId="0" fillId="6" borderId="1" xfId="0" applyFill="1" applyBorder="1" applyAlignment="1">
      <alignment horizontal="center"/>
    </xf>
    <xf numFmtId="0" fontId="6" fillId="0" borderId="0" xfId="0" applyFont="1" applyBorder="1"/>
    <xf numFmtId="0" fontId="18" fillId="4" borderId="0" xfId="0" applyFont="1" applyFill="1" applyBorder="1"/>
    <xf numFmtId="165" fontId="0" fillId="0" borderId="0" xfId="0" applyNumberFormat="1"/>
    <xf numFmtId="9" fontId="1" fillId="2" borderId="1" xfId="2" applyFont="1" applyFill="1" applyBorder="1"/>
    <xf numFmtId="167" fontId="1" fillId="0" borderId="0" xfId="2" applyNumberFormat="1" applyFont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1" fontId="0" fillId="0" borderId="9" xfId="0" applyNumberFormat="1" applyBorder="1" applyAlignment="1">
      <alignment horizontal="center"/>
    </xf>
    <xf numFmtId="0" fontId="1" fillId="3" borderId="0" xfId="0" applyFont="1" applyFill="1" applyAlignment="1">
      <alignment horizontal="center"/>
    </xf>
    <xf numFmtId="37" fontId="0" fillId="2" borderId="1" xfId="4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6" fontId="0" fillId="0" borderId="1" xfId="1" applyNumberFormat="1" applyFont="1" applyBorder="1" applyAlignment="1">
      <alignment horizontal="center"/>
    </xf>
    <xf numFmtId="6" fontId="1" fillId="0" borderId="1" xfId="1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0" fillId="0" borderId="14" xfId="0" applyBorder="1"/>
    <xf numFmtId="165" fontId="1" fillId="0" borderId="13" xfId="0" applyNumberFormat="1" applyFont="1" applyBorder="1" applyAlignment="1">
      <alignment horizontal="center"/>
    </xf>
    <xf numFmtId="6" fontId="1" fillId="0" borderId="13" xfId="1" applyNumberFormat="1" applyFont="1" applyBorder="1" applyAlignment="1">
      <alignment horizontal="center"/>
    </xf>
    <xf numFmtId="0" fontId="3" fillId="0" borderId="14" xfId="3" applyBorder="1"/>
    <xf numFmtId="37" fontId="0" fillId="2" borderId="14" xfId="4" applyNumberFormat="1" applyFont="1" applyFill="1" applyBorder="1" applyAlignment="1">
      <alignment horizontal="center"/>
    </xf>
    <xf numFmtId="165" fontId="1" fillId="0" borderId="14" xfId="1" applyNumberFormat="1" applyFont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6" fontId="0" fillId="0" borderId="14" xfId="1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0" fillId="7" borderId="1" xfId="0" applyFill="1" applyBorder="1"/>
    <xf numFmtId="164" fontId="14" fillId="0" borderId="1" xfId="0" applyNumberFormat="1" applyFont="1" applyBorder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164" fontId="20" fillId="0" borderId="13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6" fontId="1" fillId="0" borderId="1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3" fillId="0" borderId="1" xfId="3" applyBorder="1" applyAlignment="1">
      <alignment horizontal="right"/>
    </xf>
    <xf numFmtId="164" fontId="0" fillId="0" borderId="0" xfId="0" applyNumberForma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22" fillId="0" borderId="1" xfId="0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6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7" fillId="0" borderId="0" xfId="0" applyFo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0" fillId="0" borderId="0" xfId="0" applyFont="1" applyFill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left"/>
    </xf>
    <xf numFmtId="0" fontId="0" fillId="4" borderId="0" xfId="0" applyFill="1" applyBorder="1"/>
    <xf numFmtId="0" fontId="4" fillId="4" borderId="0" xfId="0" applyFont="1" applyFill="1" applyBorder="1"/>
    <xf numFmtId="2" fontId="0" fillId="0" borderId="0" xfId="0" applyNumberFormat="1" applyBorder="1" applyAlignment="1">
      <alignment horizontal="center"/>
    </xf>
    <xf numFmtId="2" fontId="22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19" xfId="0" applyBorder="1"/>
    <xf numFmtId="0" fontId="0" fillId="6" borderId="1" xfId="0" applyFill="1" applyBorder="1"/>
    <xf numFmtId="2" fontId="17" fillId="0" borderId="18" xfId="0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center"/>
    </xf>
    <xf numFmtId="1" fontId="0" fillId="0" borderId="18" xfId="0" applyNumberFormat="1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2" fontId="0" fillId="0" borderId="18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2" fontId="21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2" fontId="17" fillId="8" borderId="2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8" fontId="21" fillId="0" borderId="0" xfId="0" applyNumberFormat="1" applyFont="1" applyFill="1" applyAlignment="1">
      <alignment horizontal="center"/>
    </xf>
    <xf numFmtId="0" fontId="26" fillId="0" borderId="21" xfId="0" applyFont="1" applyBorder="1"/>
    <xf numFmtId="0" fontId="0" fillId="0" borderId="18" xfId="0" applyBorder="1"/>
    <xf numFmtId="0" fontId="0" fillId="0" borderId="22" xfId="0" applyBorder="1"/>
    <xf numFmtId="0" fontId="1" fillId="0" borderId="23" xfId="0" applyFont="1" applyBorder="1"/>
    <xf numFmtId="2" fontId="0" fillId="0" borderId="24" xfId="0" applyNumberFormat="1" applyBorder="1"/>
    <xf numFmtId="164" fontId="0" fillId="0" borderId="24" xfId="0" applyNumberFormat="1" applyBorder="1"/>
    <xf numFmtId="8" fontId="0" fillId="0" borderId="24" xfId="0" applyNumberFormat="1" applyBorder="1"/>
    <xf numFmtId="0" fontId="1" fillId="0" borderId="25" xfId="0" applyFont="1" applyBorder="1"/>
    <xf numFmtId="164" fontId="0" fillId="0" borderId="26" xfId="0" applyNumberFormat="1" applyBorder="1"/>
    <xf numFmtId="0" fontId="24" fillId="0" borderId="27" xfId="0" applyFont="1" applyBorder="1"/>
    <xf numFmtId="0" fontId="25" fillId="0" borderId="28" xfId="0" applyFont="1" applyBorder="1"/>
    <xf numFmtId="164" fontId="22" fillId="0" borderId="29" xfId="0" applyNumberFormat="1" applyFont="1" applyBorder="1"/>
    <xf numFmtId="164" fontId="0" fillId="2" borderId="1" xfId="0" applyNumberForma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4" xfId="0" applyNumberForma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0" fillId="0" borderId="19" xfId="0" applyNumberFormat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accent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accent2">
                    <a:lumMod val="75000"/>
                  </a:schemeClr>
                </a:solidFill>
              </a:rPr>
              <a:t>Estimate vs. Actual</a:t>
            </a:r>
          </a:p>
        </c:rich>
      </c:tx>
      <c:layout>
        <c:manualLayout>
          <c:xMode val="edge"/>
          <c:yMode val="edge"/>
          <c:x val="0.37083666913257668"/>
          <c:y val="3.2700157578712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accent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(Summary!$C$12:$C$16,Summary!$C$21:$C$42)</c:f>
              <c:strCache>
                <c:ptCount val="27"/>
                <c:pt idx="0">
                  <c:v>Excavation &amp; Backfill</c:v>
                </c:pt>
                <c:pt idx="1">
                  <c:v>Formwork</c:v>
                </c:pt>
                <c:pt idx="2">
                  <c:v>Concrete Work</c:v>
                </c:pt>
                <c:pt idx="3">
                  <c:v>Misc. Concrete Work</c:v>
                </c:pt>
                <c:pt idx="4">
                  <c:v>Masonry Work</c:v>
                </c:pt>
                <c:pt idx="5">
                  <c:v>Finish Hardware Allowance</c:v>
                </c:pt>
                <c:pt idx="6">
                  <c:v>Site Paving</c:v>
                </c:pt>
                <c:pt idx="7">
                  <c:v>Landscaping</c:v>
                </c:pt>
                <c:pt idx="8">
                  <c:v>Piling</c:v>
                </c:pt>
                <c:pt idx="9">
                  <c:v>Reinforcing Steel</c:v>
                </c:pt>
                <c:pt idx="10">
                  <c:v>Steel Building</c:v>
                </c:pt>
                <c:pt idx="11">
                  <c:v>Misc. Steel</c:v>
                </c:pt>
                <c:pt idx="12">
                  <c:v>Carpentry</c:v>
                </c:pt>
                <c:pt idx="13">
                  <c:v>Millwork &amp; Wood Doors</c:v>
                </c:pt>
                <c:pt idx="14">
                  <c:v>Roofing</c:v>
                </c:pt>
                <c:pt idx="15">
                  <c:v>Caulking &amp; Damp-proofing</c:v>
                </c:pt>
                <c:pt idx="16">
                  <c:v>Hollow Metal Doors &amp; Frames</c:v>
                </c:pt>
                <c:pt idx="17">
                  <c:v>Overhead Doors</c:v>
                </c:pt>
                <c:pt idx="18">
                  <c:v>Windows</c:v>
                </c:pt>
                <c:pt idx="19">
                  <c:v>Resilient Floors</c:v>
                </c:pt>
                <c:pt idx="20">
                  <c:v>Drywall</c:v>
                </c:pt>
                <c:pt idx="21">
                  <c:v>Acoustic Ceiling</c:v>
                </c:pt>
                <c:pt idx="22">
                  <c:v>Painting</c:v>
                </c:pt>
                <c:pt idx="23">
                  <c:v>Toilet Partitions</c:v>
                </c:pt>
                <c:pt idx="24">
                  <c:v>Washroom Accessories</c:v>
                </c:pt>
                <c:pt idx="25">
                  <c:v>Plumbing &amp; HVAC</c:v>
                </c:pt>
                <c:pt idx="26">
                  <c:v>Electrical</c:v>
                </c:pt>
              </c:strCache>
            </c:strRef>
          </c:cat>
          <c:val>
            <c:numRef>
              <c:f>(Summary!$I$12:$I$16,Summary!$I$21:$I$42)</c:f>
              <c:numCache>
                <c:formatCode>"$"#,##0</c:formatCode>
                <c:ptCount val="27"/>
                <c:pt idx="0">
                  <c:v>31827</c:v>
                </c:pt>
                <c:pt idx="1">
                  <c:v>37891</c:v>
                </c:pt>
                <c:pt idx="2">
                  <c:v>83198</c:v>
                </c:pt>
                <c:pt idx="3">
                  <c:v>63040</c:v>
                </c:pt>
                <c:pt idx="4">
                  <c:v>82650</c:v>
                </c:pt>
                <c:pt idx="5">
                  <c:v>7000</c:v>
                </c:pt>
                <c:pt idx="6">
                  <c:v>40460</c:v>
                </c:pt>
                <c:pt idx="7">
                  <c:v>10027</c:v>
                </c:pt>
                <c:pt idx="8">
                  <c:v>31500</c:v>
                </c:pt>
                <c:pt idx="9">
                  <c:v>54025</c:v>
                </c:pt>
                <c:pt idx="10">
                  <c:v>555000</c:v>
                </c:pt>
                <c:pt idx="11">
                  <c:v>12058</c:v>
                </c:pt>
                <c:pt idx="12">
                  <c:v>24297.568274309386</c:v>
                </c:pt>
                <c:pt idx="13">
                  <c:v>24050</c:v>
                </c:pt>
                <c:pt idx="14">
                  <c:v>76000</c:v>
                </c:pt>
                <c:pt idx="15">
                  <c:v>2250</c:v>
                </c:pt>
                <c:pt idx="16">
                  <c:v>11240</c:v>
                </c:pt>
                <c:pt idx="17">
                  <c:v>36000</c:v>
                </c:pt>
                <c:pt idx="18">
                  <c:v>62406</c:v>
                </c:pt>
                <c:pt idx="19">
                  <c:v>50205</c:v>
                </c:pt>
                <c:pt idx="20">
                  <c:v>38492</c:v>
                </c:pt>
                <c:pt idx="21">
                  <c:v>15305</c:v>
                </c:pt>
                <c:pt idx="22">
                  <c:v>24240</c:v>
                </c:pt>
                <c:pt idx="23">
                  <c:v>6480</c:v>
                </c:pt>
                <c:pt idx="24">
                  <c:v>2425</c:v>
                </c:pt>
                <c:pt idx="25">
                  <c:v>206250</c:v>
                </c:pt>
                <c:pt idx="26">
                  <c:v>142550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6-4DB5-8FF1-1CC874239912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(Summary!$C$12:$C$16,Summary!$C$21:$C$42)</c:f>
              <c:strCache>
                <c:ptCount val="27"/>
                <c:pt idx="0">
                  <c:v>Excavation &amp; Backfill</c:v>
                </c:pt>
                <c:pt idx="1">
                  <c:v>Formwork</c:v>
                </c:pt>
                <c:pt idx="2">
                  <c:v>Concrete Work</c:v>
                </c:pt>
                <c:pt idx="3">
                  <c:v>Misc. Concrete Work</c:v>
                </c:pt>
                <c:pt idx="4">
                  <c:v>Masonry Work</c:v>
                </c:pt>
                <c:pt idx="5">
                  <c:v>Finish Hardware Allowance</c:v>
                </c:pt>
                <c:pt idx="6">
                  <c:v>Site Paving</c:v>
                </c:pt>
                <c:pt idx="7">
                  <c:v>Landscaping</c:v>
                </c:pt>
                <c:pt idx="8">
                  <c:v>Piling</c:v>
                </c:pt>
                <c:pt idx="9">
                  <c:v>Reinforcing Steel</c:v>
                </c:pt>
                <c:pt idx="10">
                  <c:v>Steel Building</c:v>
                </c:pt>
                <c:pt idx="11">
                  <c:v>Misc. Steel</c:v>
                </c:pt>
                <c:pt idx="12">
                  <c:v>Carpentry</c:v>
                </c:pt>
                <c:pt idx="13">
                  <c:v>Millwork &amp; Wood Doors</c:v>
                </c:pt>
                <c:pt idx="14">
                  <c:v>Roofing</c:v>
                </c:pt>
                <c:pt idx="15">
                  <c:v>Caulking &amp; Damp-proofing</c:v>
                </c:pt>
                <c:pt idx="16">
                  <c:v>Hollow Metal Doors &amp; Frames</c:v>
                </c:pt>
                <c:pt idx="17">
                  <c:v>Overhead Doors</c:v>
                </c:pt>
                <c:pt idx="18">
                  <c:v>Windows</c:v>
                </c:pt>
                <c:pt idx="19">
                  <c:v>Resilient Floors</c:v>
                </c:pt>
                <c:pt idx="20">
                  <c:v>Drywall</c:v>
                </c:pt>
                <c:pt idx="21">
                  <c:v>Acoustic Ceiling</c:v>
                </c:pt>
                <c:pt idx="22">
                  <c:v>Painting</c:v>
                </c:pt>
                <c:pt idx="23">
                  <c:v>Toilet Partitions</c:v>
                </c:pt>
                <c:pt idx="24">
                  <c:v>Washroom Accessories</c:v>
                </c:pt>
                <c:pt idx="25">
                  <c:v>Plumbing &amp; HVAC</c:v>
                </c:pt>
                <c:pt idx="26">
                  <c:v>Electrical</c:v>
                </c:pt>
              </c:strCache>
            </c:strRef>
          </c:cat>
          <c:val>
            <c:numRef>
              <c:f>(Summary!$K$12:$K$16,Summary!$K$21:$K$42)</c:f>
              <c:numCache>
                <c:formatCode>"$"#,##0</c:formatCode>
                <c:ptCount val="27"/>
                <c:pt idx="0">
                  <c:v>32550</c:v>
                </c:pt>
                <c:pt idx="1">
                  <c:v>35620</c:v>
                </c:pt>
                <c:pt idx="2">
                  <c:v>82114</c:v>
                </c:pt>
                <c:pt idx="3">
                  <c:v>66954</c:v>
                </c:pt>
                <c:pt idx="4">
                  <c:v>91256</c:v>
                </c:pt>
                <c:pt idx="5">
                  <c:v>7000</c:v>
                </c:pt>
                <c:pt idx="6">
                  <c:v>41253</c:v>
                </c:pt>
                <c:pt idx="7">
                  <c:v>9599</c:v>
                </c:pt>
                <c:pt idx="8">
                  <c:v>31500</c:v>
                </c:pt>
                <c:pt idx="9">
                  <c:v>54025</c:v>
                </c:pt>
                <c:pt idx="10">
                  <c:v>542087</c:v>
                </c:pt>
                <c:pt idx="11">
                  <c:v>15684</c:v>
                </c:pt>
                <c:pt idx="12">
                  <c:v>9000</c:v>
                </c:pt>
                <c:pt idx="13">
                  <c:v>24050</c:v>
                </c:pt>
                <c:pt idx="14">
                  <c:v>76000</c:v>
                </c:pt>
                <c:pt idx="15">
                  <c:v>2250</c:v>
                </c:pt>
                <c:pt idx="16">
                  <c:v>11240</c:v>
                </c:pt>
                <c:pt idx="17">
                  <c:v>36000</c:v>
                </c:pt>
                <c:pt idx="18">
                  <c:v>64852</c:v>
                </c:pt>
                <c:pt idx="19">
                  <c:v>51625</c:v>
                </c:pt>
                <c:pt idx="20">
                  <c:v>36551</c:v>
                </c:pt>
                <c:pt idx="21">
                  <c:v>15200</c:v>
                </c:pt>
                <c:pt idx="22">
                  <c:v>24240</c:v>
                </c:pt>
                <c:pt idx="23">
                  <c:v>6480</c:v>
                </c:pt>
                <c:pt idx="24">
                  <c:v>2425</c:v>
                </c:pt>
                <c:pt idx="25">
                  <c:v>198557</c:v>
                </c:pt>
                <c:pt idx="26">
                  <c:v>146394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6-4DB5-8FF1-1CC87423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2698592"/>
        <c:axId val="574993360"/>
      </c:barChart>
      <c:catAx>
        <c:axId val="57269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993360"/>
        <c:crosses val="autoZero"/>
        <c:auto val="1"/>
        <c:lblAlgn val="ctr"/>
        <c:lblOffset val="100"/>
        <c:noMultiLvlLbl val="0"/>
      </c:catAx>
      <c:valAx>
        <c:axId val="5749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69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ummary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ummary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ummary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ummary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#Summar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1</xdr:row>
      <xdr:rowOff>47626</xdr:rowOff>
    </xdr:from>
    <xdr:to>
      <xdr:col>2</xdr:col>
      <xdr:colOff>1343025</xdr:colOff>
      <xdr:row>8</xdr:row>
      <xdr:rowOff>149296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47626"/>
          <a:ext cx="1543049" cy="1092270"/>
        </a:xfrm>
        <a:prstGeom prst="rect">
          <a:avLst/>
        </a:prstGeom>
      </xdr:spPr>
    </xdr:pic>
    <xdr:clientData/>
  </xdr:twoCellAnchor>
  <xdr:twoCellAnchor>
    <xdr:from>
      <xdr:col>0</xdr:col>
      <xdr:colOff>280146</xdr:colOff>
      <xdr:row>60</xdr:row>
      <xdr:rowOff>23531</xdr:rowOff>
    </xdr:from>
    <xdr:to>
      <xdr:col>12</xdr:col>
      <xdr:colOff>44822</xdr:colOff>
      <xdr:row>84</xdr:row>
      <xdr:rowOff>112059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2</xdr:col>
      <xdr:colOff>552449</xdr:colOff>
      <xdr:row>6</xdr:row>
      <xdr:rowOff>54045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4775"/>
          <a:ext cx="1543049" cy="10922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2</xdr:col>
      <xdr:colOff>476249</xdr:colOff>
      <xdr:row>6</xdr:row>
      <xdr:rowOff>63570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543049" cy="10922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133350</xdr:rowOff>
    </xdr:from>
    <xdr:to>
      <xdr:col>2</xdr:col>
      <xdr:colOff>447674</xdr:colOff>
      <xdr:row>6</xdr:row>
      <xdr:rowOff>82620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0"/>
          <a:ext cx="1543049" cy="10922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323849</xdr:colOff>
      <xdr:row>6</xdr:row>
      <xdr:rowOff>139770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543049" cy="10922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170466</xdr:colOff>
      <xdr:row>1</xdr:row>
      <xdr:rowOff>9169</xdr:rowOff>
    </xdr:from>
    <xdr:to>
      <xdr:col>3</xdr:col>
      <xdr:colOff>2308</xdr:colOff>
      <xdr:row>6</xdr:row>
      <xdr:rowOff>143166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921" y="193896"/>
          <a:ext cx="1586751" cy="1057634"/>
        </a:xfrm>
        <a:prstGeom prst="rect">
          <a:avLst/>
        </a:prstGeom>
      </xdr:spPr>
    </xdr:pic>
    <xdr:clientData/>
  </xdr:twoCellAnchor>
  <xdr:oneCellAnchor>
    <xdr:from>
      <xdr:col>2</xdr:col>
      <xdr:colOff>558067</xdr:colOff>
      <xdr:row>83</xdr:row>
      <xdr:rowOff>63465</xdr:rowOff>
    </xdr:from>
    <xdr:ext cx="4352346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20732929">
          <a:off x="1566596" y="15594818"/>
          <a:ext cx="435234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 your own...</a:t>
          </a:r>
        </a:p>
      </xdr:txBody>
    </xdr:sp>
    <xdr:clientData/>
  </xdr:oneCellAnchor>
  <xdr:oneCellAnchor>
    <xdr:from>
      <xdr:col>15</xdr:col>
      <xdr:colOff>728383</xdr:colOff>
      <xdr:row>83</xdr:row>
      <xdr:rowOff>78441</xdr:rowOff>
    </xdr:from>
    <xdr:ext cx="4352346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20732929">
          <a:off x="11855824" y="15609794"/>
          <a:ext cx="435234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 your own...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60"/>
  <sheetViews>
    <sheetView showGridLines="0" view="pageBreakPreview" topLeftCell="A19" zoomScale="115" zoomScaleNormal="115" zoomScaleSheetLayoutView="115" workbookViewId="0">
      <selection activeCell="G26" sqref="G26"/>
    </sheetView>
  </sheetViews>
  <sheetFormatPr defaultRowHeight="14.4" x14ac:dyDescent="0.3"/>
  <cols>
    <col min="1" max="1" width="4.109375" customWidth="1"/>
    <col min="2" max="2" width="5.44140625" style="1" customWidth="1"/>
    <col min="3" max="3" width="35.5546875" customWidth="1"/>
    <col min="4" max="5" width="13.44140625" bestFit="1" customWidth="1"/>
    <col min="6" max="6" width="12.33203125" bestFit="1" customWidth="1"/>
    <col min="7" max="7" width="14.6640625" customWidth="1"/>
    <col min="8" max="8" width="12.33203125" customWidth="1"/>
    <col min="9" max="9" width="14.5546875" style="1" customWidth="1"/>
    <col min="11" max="11" width="14" bestFit="1" customWidth="1"/>
    <col min="12" max="12" width="12.6640625" bestFit="1" customWidth="1"/>
    <col min="15" max="15" width="11.109375" bestFit="1" customWidth="1"/>
    <col min="16" max="16" width="10.109375" bestFit="1" customWidth="1"/>
    <col min="17" max="17" width="11.109375" bestFit="1" customWidth="1"/>
  </cols>
  <sheetData>
    <row r="3" spans="2:12" x14ac:dyDescent="0.3">
      <c r="D3" s="5" t="s">
        <v>0</v>
      </c>
      <c r="E3" s="7" t="s">
        <v>1</v>
      </c>
      <c r="F3" s="8"/>
      <c r="G3" s="8"/>
      <c r="H3" s="9"/>
      <c r="J3" s="6"/>
      <c r="K3" s="6"/>
      <c r="L3" s="6"/>
    </row>
    <row r="4" spans="2:12" ht="6" customHeight="1" x14ac:dyDescent="0.3">
      <c r="D4" s="6"/>
    </row>
    <row r="5" spans="2:12" x14ac:dyDescent="0.3">
      <c r="D5" s="5" t="s">
        <v>2</v>
      </c>
      <c r="E5" s="7" t="s">
        <v>3</v>
      </c>
      <c r="F5" s="8"/>
      <c r="G5" s="8"/>
      <c r="H5" s="9"/>
    </row>
    <row r="6" spans="2:12" ht="6" customHeight="1" x14ac:dyDescent="0.3">
      <c r="D6" s="6"/>
    </row>
    <row r="7" spans="2:12" x14ac:dyDescent="0.3">
      <c r="D7" s="5" t="s">
        <v>4</v>
      </c>
      <c r="E7" s="10">
        <v>25000</v>
      </c>
      <c r="F7" s="8"/>
      <c r="G7" s="8"/>
      <c r="H7" s="9"/>
    </row>
    <row r="8" spans="2:12" ht="6" customHeight="1" x14ac:dyDescent="0.3">
      <c r="D8" s="5"/>
      <c r="E8" s="2"/>
    </row>
    <row r="9" spans="2:12" x14ac:dyDescent="0.3">
      <c r="D9" s="5" t="s">
        <v>5</v>
      </c>
      <c r="E9" s="7" t="s">
        <v>6</v>
      </c>
      <c r="F9" s="8"/>
      <c r="G9" s="8"/>
      <c r="H9" s="9"/>
    </row>
    <row r="10" spans="2:12" ht="6" customHeight="1" x14ac:dyDescent="0.3"/>
    <row r="11" spans="2:12" s="3" customFormat="1" x14ac:dyDescent="0.3">
      <c r="B11" s="3" t="s">
        <v>7</v>
      </c>
      <c r="D11" s="111" t="s">
        <v>8</v>
      </c>
      <c r="E11" s="111" t="s">
        <v>9</v>
      </c>
      <c r="F11" s="111" t="s">
        <v>10</v>
      </c>
      <c r="G11" s="111" t="s">
        <v>11</v>
      </c>
      <c r="H11" s="111" t="s">
        <v>12</v>
      </c>
      <c r="I11" s="111" t="s">
        <v>13</v>
      </c>
      <c r="J11" s="111" t="s">
        <v>14</v>
      </c>
      <c r="K11" s="111" t="s">
        <v>15</v>
      </c>
      <c r="L11" s="111" t="s">
        <v>16</v>
      </c>
    </row>
    <row r="12" spans="2:12" x14ac:dyDescent="0.3">
      <c r="C12" s="15" t="s">
        <v>17</v>
      </c>
      <c r="D12" s="112">
        <v>8770</v>
      </c>
      <c r="E12" s="112">
        <v>14579</v>
      </c>
      <c r="F12" s="112">
        <v>8478</v>
      </c>
      <c r="G12" s="112"/>
      <c r="H12" s="112"/>
      <c r="I12" s="118">
        <f>SUM(D12:H12)</f>
        <v>31827</v>
      </c>
      <c r="J12" s="134">
        <f>I12/$E$7</f>
        <v>1.27308</v>
      </c>
      <c r="K12" s="216">
        <v>32550</v>
      </c>
      <c r="L12" s="115">
        <f>I12-K12</f>
        <v>-723</v>
      </c>
    </row>
    <row r="13" spans="2:12" x14ac:dyDescent="0.3">
      <c r="C13" s="15" t="s">
        <v>18</v>
      </c>
      <c r="D13" s="112">
        <v>29707</v>
      </c>
      <c r="E13" s="112">
        <v>8184</v>
      </c>
      <c r="F13" s="112"/>
      <c r="G13" s="112"/>
      <c r="H13" s="112"/>
      <c r="I13" s="118">
        <f t="shared" ref="I13:I16" si="0">SUM(D13:H13)</f>
        <v>37891</v>
      </c>
      <c r="J13" s="134">
        <f t="shared" ref="J13:J16" si="1">I13/$E$7</f>
        <v>1.5156400000000001</v>
      </c>
      <c r="K13" s="216">
        <v>35620</v>
      </c>
      <c r="L13" s="115">
        <f t="shared" ref="L13:L16" si="2">I13-K13</f>
        <v>2271</v>
      </c>
    </row>
    <row r="14" spans="2:12" x14ac:dyDescent="0.3">
      <c r="C14" s="15" t="s">
        <v>19</v>
      </c>
      <c r="D14" s="112">
        <v>8663</v>
      </c>
      <c r="E14" s="112">
        <v>70387</v>
      </c>
      <c r="F14" s="112">
        <v>4148</v>
      </c>
      <c r="G14" s="112"/>
      <c r="H14" s="112"/>
      <c r="I14" s="118">
        <f t="shared" si="0"/>
        <v>83198</v>
      </c>
      <c r="J14" s="134">
        <f t="shared" si="1"/>
        <v>3.3279200000000002</v>
      </c>
      <c r="K14" s="216">
        <v>82114</v>
      </c>
      <c r="L14" s="115">
        <f t="shared" si="2"/>
        <v>1084</v>
      </c>
    </row>
    <row r="15" spans="2:12" x14ac:dyDescent="0.3">
      <c r="C15" s="15" t="s">
        <v>20</v>
      </c>
      <c r="D15" s="112">
        <v>31525</v>
      </c>
      <c r="E15" s="112">
        <v>19780</v>
      </c>
      <c r="F15" s="112">
        <v>1457</v>
      </c>
      <c r="G15" s="112">
        <v>10278</v>
      </c>
      <c r="H15" s="112"/>
      <c r="I15" s="118">
        <f t="shared" si="0"/>
        <v>63040</v>
      </c>
      <c r="J15" s="134">
        <f t="shared" si="1"/>
        <v>2.5215999999999998</v>
      </c>
      <c r="K15" s="216">
        <v>66954</v>
      </c>
      <c r="L15" s="115">
        <f t="shared" si="2"/>
        <v>-3914</v>
      </c>
    </row>
    <row r="16" spans="2:12" ht="15" thickBot="1" x14ac:dyDescent="0.35">
      <c r="C16" s="123" t="s">
        <v>21</v>
      </c>
      <c r="D16" s="124">
        <v>33364</v>
      </c>
      <c r="E16" s="124">
        <v>48306</v>
      </c>
      <c r="F16" s="124">
        <v>980</v>
      </c>
      <c r="G16" s="124"/>
      <c r="H16" s="124"/>
      <c r="I16" s="125">
        <f t="shared" si="0"/>
        <v>82650</v>
      </c>
      <c r="J16" s="135">
        <f t="shared" si="1"/>
        <v>3.306</v>
      </c>
      <c r="K16" s="217">
        <v>91256</v>
      </c>
      <c r="L16" s="127">
        <f t="shared" si="2"/>
        <v>-8606</v>
      </c>
    </row>
    <row r="17" spans="2:15" s="1" customFormat="1" ht="15" thickTop="1" x14ac:dyDescent="0.3">
      <c r="C17" s="119" t="s">
        <v>22</v>
      </c>
      <c r="D17" s="121">
        <f>SUM(D12:D16)</f>
        <v>112029</v>
      </c>
      <c r="E17" s="121">
        <f>SUM(E12:E16)</f>
        <v>161236</v>
      </c>
      <c r="F17" s="121">
        <f t="shared" ref="F17:L17" si="3">SUM(F12:F16)</f>
        <v>15063</v>
      </c>
      <c r="G17" s="121">
        <f t="shared" si="3"/>
        <v>10278</v>
      </c>
      <c r="H17" s="121">
        <f t="shared" si="3"/>
        <v>0</v>
      </c>
      <c r="I17" s="121">
        <f t="shared" si="3"/>
        <v>298606</v>
      </c>
      <c r="J17" s="215">
        <f t="shared" si="3"/>
        <v>11.944240000000001</v>
      </c>
      <c r="K17" s="121">
        <f t="shared" si="3"/>
        <v>308494</v>
      </c>
      <c r="L17" s="138">
        <f t="shared" si="3"/>
        <v>-9888</v>
      </c>
    </row>
    <row r="18" spans="2:15" x14ac:dyDescent="0.3">
      <c r="C18" s="12" t="s">
        <v>23</v>
      </c>
      <c r="D18" s="113">
        <f>D17</f>
        <v>112029</v>
      </c>
      <c r="E18" s="113">
        <f t="shared" ref="E18:L18" si="4">E17</f>
        <v>161236</v>
      </c>
      <c r="F18" s="113">
        <f t="shared" si="4"/>
        <v>15063</v>
      </c>
      <c r="G18" s="113">
        <f t="shared" si="4"/>
        <v>10278</v>
      </c>
      <c r="H18" s="113">
        <f t="shared" si="4"/>
        <v>0</v>
      </c>
      <c r="I18" s="113">
        <f t="shared" si="4"/>
        <v>298606</v>
      </c>
      <c r="J18" s="148">
        <f t="shared" si="4"/>
        <v>11.944240000000001</v>
      </c>
      <c r="K18" s="113">
        <f t="shared" si="4"/>
        <v>308494</v>
      </c>
      <c r="L18" s="117">
        <f t="shared" si="4"/>
        <v>-9888</v>
      </c>
    </row>
    <row r="20" spans="2:15" s="4" customFormat="1" x14ac:dyDescent="0.3">
      <c r="B20" s="3" t="s">
        <v>24</v>
      </c>
      <c r="D20" s="111" t="s">
        <v>8</v>
      </c>
      <c r="E20" s="111" t="s">
        <v>9</v>
      </c>
      <c r="F20" s="111" t="s">
        <v>10</v>
      </c>
      <c r="G20" s="111" t="s">
        <v>11</v>
      </c>
      <c r="H20" s="111" t="s">
        <v>12</v>
      </c>
      <c r="I20" s="111" t="s">
        <v>13</v>
      </c>
      <c r="J20" s="111" t="s">
        <v>14</v>
      </c>
      <c r="K20" s="111" t="s">
        <v>15</v>
      </c>
      <c r="L20" s="111" t="s">
        <v>16</v>
      </c>
    </row>
    <row r="21" spans="2:15" x14ac:dyDescent="0.3">
      <c r="C21" s="11" t="s">
        <v>25</v>
      </c>
      <c r="D21" s="114"/>
      <c r="E21" s="114"/>
      <c r="F21" s="114"/>
      <c r="G21" s="114">
        <v>7000</v>
      </c>
      <c r="H21" s="114"/>
      <c r="I21" s="118">
        <f>SUM(D21:H21)</f>
        <v>7000</v>
      </c>
      <c r="J21" s="134">
        <f>I21/$E$7</f>
        <v>0.28000000000000003</v>
      </c>
      <c r="K21" s="216">
        <v>7000</v>
      </c>
      <c r="L21" s="115">
        <f>I21-K21</f>
        <v>0</v>
      </c>
      <c r="O21" s="105"/>
    </row>
    <row r="22" spans="2:15" x14ac:dyDescent="0.3">
      <c r="C22" s="11" t="s">
        <v>26</v>
      </c>
      <c r="D22" s="114"/>
      <c r="E22" s="114"/>
      <c r="F22" s="114"/>
      <c r="G22" s="114">
        <v>40460</v>
      </c>
      <c r="H22" s="114"/>
      <c r="I22" s="118">
        <f t="shared" ref="I22:I42" si="5">SUM(D22:H22)</f>
        <v>40460</v>
      </c>
      <c r="J22" s="134">
        <f t="shared" ref="J22:J42" si="6">I22/$E$7</f>
        <v>1.6184000000000001</v>
      </c>
      <c r="K22" s="216">
        <v>41253</v>
      </c>
      <c r="L22" s="115">
        <f t="shared" ref="L22:L42" si="7">I22-K22</f>
        <v>-793</v>
      </c>
    </row>
    <row r="23" spans="2:15" x14ac:dyDescent="0.3">
      <c r="C23" s="11" t="s">
        <v>27</v>
      </c>
      <c r="D23" s="114"/>
      <c r="E23" s="114"/>
      <c r="F23" s="114"/>
      <c r="G23" s="114">
        <v>10027</v>
      </c>
      <c r="H23" s="114"/>
      <c r="I23" s="118">
        <f t="shared" si="5"/>
        <v>10027</v>
      </c>
      <c r="J23" s="134">
        <f t="shared" si="6"/>
        <v>0.40107999999999999</v>
      </c>
      <c r="K23" s="216">
        <v>9599</v>
      </c>
      <c r="L23" s="115">
        <f t="shared" si="7"/>
        <v>428</v>
      </c>
    </row>
    <row r="24" spans="2:15" x14ac:dyDescent="0.3">
      <c r="C24" s="11" t="s">
        <v>28</v>
      </c>
      <c r="D24" s="114"/>
      <c r="E24" s="114"/>
      <c r="F24" s="114"/>
      <c r="G24" s="114">
        <v>31500</v>
      </c>
      <c r="H24" s="114"/>
      <c r="I24" s="118">
        <f t="shared" si="5"/>
        <v>31500</v>
      </c>
      <c r="J24" s="134">
        <f t="shared" si="6"/>
        <v>1.26</v>
      </c>
      <c r="K24" s="216">
        <v>31500</v>
      </c>
      <c r="L24" s="115">
        <f t="shared" si="7"/>
        <v>0</v>
      </c>
    </row>
    <row r="25" spans="2:15" x14ac:dyDescent="0.3">
      <c r="C25" s="11" t="s">
        <v>29</v>
      </c>
      <c r="D25" s="114"/>
      <c r="E25" s="114"/>
      <c r="F25" s="114"/>
      <c r="G25" s="114">
        <v>54025</v>
      </c>
      <c r="H25" s="114"/>
      <c r="I25" s="118">
        <f t="shared" si="5"/>
        <v>54025</v>
      </c>
      <c r="J25" s="134">
        <f t="shared" si="6"/>
        <v>2.161</v>
      </c>
      <c r="K25" s="216">
        <v>54025</v>
      </c>
      <c r="L25" s="115">
        <f t="shared" si="7"/>
        <v>0</v>
      </c>
    </row>
    <row r="26" spans="2:15" x14ac:dyDescent="0.3">
      <c r="C26" s="11" t="s">
        <v>30</v>
      </c>
      <c r="D26" s="114"/>
      <c r="E26" s="114"/>
      <c r="F26" s="114"/>
      <c r="G26" s="114">
        <v>555000</v>
      </c>
      <c r="H26" s="114"/>
      <c r="I26" s="118">
        <f t="shared" si="5"/>
        <v>555000</v>
      </c>
      <c r="J26" s="134">
        <f t="shared" si="6"/>
        <v>22.2</v>
      </c>
      <c r="K26" s="216">
        <v>542087</v>
      </c>
      <c r="L26" s="115">
        <f t="shared" si="7"/>
        <v>12913</v>
      </c>
    </row>
    <row r="27" spans="2:15" x14ac:dyDescent="0.3">
      <c r="C27" s="11" t="s">
        <v>31</v>
      </c>
      <c r="D27" s="114">
        <v>2783</v>
      </c>
      <c r="E27" s="114"/>
      <c r="F27" s="114"/>
      <c r="G27" s="114">
        <v>9275</v>
      </c>
      <c r="H27" s="114"/>
      <c r="I27" s="118">
        <f t="shared" si="5"/>
        <v>12058</v>
      </c>
      <c r="J27" s="134">
        <f t="shared" si="6"/>
        <v>0.48232000000000003</v>
      </c>
      <c r="K27" s="216">
        <v>15684</v>
      </c>
      <c r="L27" s="115">
        <f t="shared" si="7"/>
        <v>-3626</v>
      </c>
    </row>
    <row r="28" spans="2:15" x14ac:dyDescent="0.3">
      <c r="C28" s="15" t="s">
        <v>32</v>
      </c>
      <c r="D28" s="114"/>
      <c r="E28" s="114"/>
      <c r="F28" s="114"/>
      <c r="G28" s="114">
        <f>Carpentry!L118</f>
        <v>24297.568274309386</v>
      </c>
      <c r="H28" s="114"/>
      <c r="I28" s="118">
        <f t="shared" si="5"/>
        <v>24297.568274309386</v>
      </c>
      <c r="J28" s="134">
        <f t="shared" si="6"/>
        <v>0.97190273097237545</v>
      </c>
      <c r="K28" s="216">
        <v>9000</v>
      </c>
      <c r="L28" s="115">
        <f t="shared" si="7"/>
        <v>15297.568274309386</v>
      </c>
    </row>
    <row r="29" spans="2:15" x14ac:dyDescent="0.3">
      <c r="C29" s="11" t="s">
        <v>33</v>
      </c>
      <c r="D29" s="114">
        <v>5550</v>
      </c>
      <c r="E29" s="114"/>
      <c r="F29" s="114"/>
      <c r="G29" s="114">
        <v>18500</v>
      </c>
      <c r="H29" s="114"/>
      <c r="I29" s="118">
        <f t="shared" si="5"/>
        <v>24050</v>
      </c>
      <c r="J29" s="134">
        <f t="shared" si="6"/>
        <v>0.96199999999999997</v>
      </c>
      <c r="K29" s="216">
        <v>24050</v>
      </c>
      <c r="L29" s="115">
        <f t="shared" si="7"/>
        <v>0</v>
      </c>
    </row>
    <row r="30" spans="2:15" x14ac:dyDescent="0.3">
      <c r="C30" s="11" t="s">
        <v>34</v>
      </c>
      <c r="D30" s="114"/>
      <c r="E30" s="114"/>
      <c r="F30" s="114"/>
      <c r="G30" s="114">
        <v>76000</v>
      </c>
      <c r="H30" s="114"/>
      <c r="I30" s="118">
        <f t="shared" si="5"/>
        <v>76000</v>
      </c>
      <c r="J30" s="134">
        <f t="shared" si="6"/>
        <v>3.04</v>
      </c>
      <c r="K30" s="216">
        <v>76000</v>
      </c>
      <c r="L30" s="115">
        <f t="shared" si="7"/>
        <v>0</v>
      </c>
    </row>
    <row r="31" spans="2:15" x14ac:dyDescent="0.3">
      <c r="C31" s="11" t="s">
        <v>35</v>
      </c>
      <c r="D31" s="114"/>
      <c r="E31" s="114"/>
      <c r="F31" s="114"/>
      <c r="G31" s="114">
        <v>2250</v>
      </c>
      <c r="H31" s="114"/>
      <c r="I31" s="118">
        <f t="shared" si="5"/>
        <v>2250</v>
      </c>
      <c r="J31" s="134">
        <f t="shared" si="6"/>
        <v>0.09</v>
      </c>
      <c r="K31" s="216">
        <v>2250</v>
      </c>
      <c r="L31" s="115">
        <f t="shared" si="7"/>
        <v>0</v>
      </c>
    </row>
    <row r="32" spans="2:15" x14ac:dyDescent="0.3">
      <c r="C32" s="11" t="s">
        <v>36</v>
      </c>
      <c r="D32" s="114">
        <v>1040</v>
      </c>
      <c r="E32" s="114"/>
      <c r="F32" s="114"/>
      <c r="G32" s="114">
        <v>10200</v>
      </c>
      <c r="H32" s="114"/>
      <c r="I32" s="118">
        <f t="shared" si="5"/>
        <v>11240</v>
      </c>
      <c r="J32" s="134">
        <f t="shared" si="6"/>
        <v>0.4496</v>
      </c>
      <c r="K32" s="216">
        <v>11240</v>
      </c>
      <c r="L32" s="115">
        <f t="shared" si="7"/>
        <v>0</v>
      </c>
    </row>
    <row r="33" spans="2:12" x14ac:dyDescent="0.3">
      <c r="C33" s="11" t="s">
        <v>37</v>
      </c>
      <c r="D33" s="114"/>
      <c r="E33" s="114"/>
      <c r="F33" s="114"/>
      <c r="G33" s="114">
        <v>36000</v>
      </c>
      <c r="H33" s="114"/>
      <c r="I33" s="118">
        <f t="shared" si="5"/>
        <v>36000</v>
      </c>
      <c r="J33" s="134">
        <f t="shared" si="6"/>
        <v>1.44</v>
      </c>
      <c r="K33" s="216">
        <v>36000</v>
      </c>
      <c r="L33" s="115">
        <f t="shared" si="7"/>
        <v>0</v>
      </c>
    </row>
    <row r="34" spans="2:12" x14ac:dyDescent="0.3">
      <c r="C34" s="11" t="s">
        <v>38</v>
      </c>
      <c r="D34" s="114"/>
      <c r="E34" s="114"/>
      <c r="F34" s="114"/>
      <c r="G34" s="114">
        <v>62406</v>
      </c>
      <c r="H34" s="114"/>
      <c r="I34" s="118">
        <f t="shared" si="5"/>
        <v>62406</v>
      </c>
      <c r="J34" s="134">
        <f t="shared" si="6"/>
        <v>2.4962399999999998</v>
      </c>
      <c r="K34" s="216">
        <v>64852</v>
      </c>
      <c r="L34" s="115">
        <f t="shared" si="7"/>
        <v>-2446</v>
      </c>
    </row>
    <row r="35" spans="2:12" x14ac:dyDescent="0.3">
      <c r="C35" s="11" t="s">
        <v>39</v>
      </c>
      <c r="D35" s="114"/>
      <c r="E35" s="114"/>
      <c r="F35" s="114"/>
      <c r="G35" s="114">
        <v>50205</v>
      </c>
      <c r="H35" s="114"/>
      <c r="I35" s="118">
        <f t="shared" si="5"/>
        <v>50205</v>
      </c>
      <c r="J35" s="134">
        <f t="shared" si="6"/>
        <v>2.0082</v>
      </c>
      <c r="K35" s="216">
        <v>51625</v>
      </c>
      <c r="L35" s="115">
        <f t="shared" si="7"/>
        <v>-1420</v>
      </c>
    </row>
    <row r="36" spans="2:12" x14ac:dyDescent="0.3">
      <c r="C36" s="11" t="s">
        <v>40</v>
      </c>
      <c r="D36" s="114"/>
      <c r="E36" s="114"/>
      <c r="F36" s="114"/>
      <c r="G36" s="114">
        <v>38492</v>
      </c>
      <c r="H36" s="114"/>
      <c r="I36" s="118">
        <f t="shared" si="5"/>
        <v>38492</v>
      </c>
      <c r="J36" s="134">
        <f t="shared" si="6"/>
        <v>1.5396799999999999</v>
      </c>
      <c r="K36" s="216">
        <v>36551</v>
      </c>
      <c r="L36" s="115">
        <f t="shared" si="7"/>
        <v>1941</v>
      </c>
    </row>
    <row r="37" spans="2:12" x14ac:dyDescent="0.3">
      <c r="C37" s="11" t="s">
        <v>41</v>
      </c>
      <c r="D37" s="114"/>
      <c r="E37" s="114"/>
      <c r="F37" s="114"/>
      <c r="G37" s="114">
        <v>15305</v>
      </c>
      <c r="H37" s="114"/>
      <c r="I37" s="118">
        <f t="shared" si="5"/>
        <v>15305</v>
      </c>
      <c r="J37" s="134">
        <f t="shared" si="6"/>
        <v>0.61219999999999997</v>
      </c>
      <c r="K37" s="216">
        <v>15200</v>
      </c>
      <c r="L37" s="115">
        <f t="shared" si="7"/>
        <v>105</v>
      </c>
    </row>
    <row r="38" spans="2:12" x14ac:dyDescent="0.3">
      <c r="C38" s="11" t="s">
        <v>42</v>
      </c>
      <c r="D38" s="114"/>
      <c r="E38" s="114"/>
      <c r="F38" s="114"/>
      <c r="G38" s="114">
        <v>24240</v>
      </c>
      <c r="H38" s="114"/>
      <c r="I38" s="118">
        <f t="shared" si="5"/>
        <v>24240</v>
      </c>
      <c r="J38" s="134">
        <f t="shared" si="6"/>
        <v>0.96960000000000002</v>
      </c>
      <c r="K38" s="216">
        <v>24240</v>
      </c>
      <c r="L38" s="115">
        <f t="shared" si="7"/>
        <v>0</v>
      </c>
    </row>
    <row r="39" spans="2:12" x14ac:dyDescent="0.3">
      <c r="C39" s="11" t="s">
        <v>43</v>
      </c>
      <c r="D39" s="114"/>
      <c r="E39" s="114"/>
      <c r="F39" s="114"/>
      <c r="G39" s="114">
        <v>6480</v>
      </c>
      <c r="H39" s="114"/>
      <c r="I39" s="118">
        <f t="shared" si="5"/>
        <v>6480</v>
      </c>
      <c r="J39" s="134">
        <f t="shared" si="6"/>
        <v>0.25919999999999999</v>
      </c>
      <c r="K39" s="216">
        <v>6480</v>
      </c>
      <c r="L39" s="115">
        <f t="shared" si="7"/>
        <v>0</v>
      </c>
    </row>
    <row r="40" spans="2:12" x14ac:dyDescent="0.3">
      <c r="C40" s="11" t="s">
        <v>44</v>
      </c>
      <c r="D40" s="114">
        <v>800</v>
      </c>
      <c r="E40" s="114"/>
      <c r="F40" s="114"/>
      <c r="G40" s="114">
        <v>1625</v>
      </c>
      <c r="H40" s="114"/>
      <c r="I40" s="118">
        <f t="shared" si="5"/>
        <v>2425</v>
      </c>
      <c r="J40" s="134">
        <f t="shared" si="6"/>
        <v>9.7000000000000003E-2</v>
      </c>
      <c r="K40" s="216">
        <v>2425</v>
      </c>
      <c r="L40" s="115">
        <f t="shared" si="7"/>
        <v>0</v>
      </c>
    </row>
    <row r="41" spans="2:12" x14ac:dyDescent="0.3">
      <c r="C41" s="11" t="s">
        <v>45</v>
      </c>
      <c r="D41" s="114"/>
      <c r="E41" s="114"/>
      <c r="F41" s="114"/>
      <c r="G41" s="114">
        <v>206250</v>
      </c>
      <c r="H41" s="114"/>
      <c r="I41" s="118">
        <f t="shared" si="5"/>
        <v>206250</v>
      </c>
      <c r="J41" s="134">
        <f t="shared" si="6"/>
        <v>8.25</v>
      </c>
      <c r="K41" s="216">
        <v>198557</v>
      </c>
      <c r="L41" s="115">
        <f t="shared" si="7"/>
        <v>7693</v>
      </c>
    </row>
    <row r="42" spans="2:12" ht="15" thickBot="1" x14ac:dyDescent="0.35">
      <c r="C42" s="120" t="s">
        <v>46</v>
      </c>
      <c r="D42" s="126"/>
      <c r="E42" s="126"/>
      <c r="F42" s="126"/>
      <c r="G42" s="126">
        <v>142550</v>
      </c>
      <c r="H42" s="126"/>
      <c r="I42" s="125">
        <f t="shared" si="5"/>
        <v>142550</v>
      </c>
      <c r="J42" s="135">
        <f t="shared" si="6"/>
        <v>5.702</v>
      </c>
      <c r="K42" s="217">
        <v>146394</v>
      </c>
      <c r="L42" s="127">
        <f t="shared" si="7"/>
        <v>-3844</v>
      </c>
    </row>
    <row r="43" spans="2:12" ht="15" thickTop="1" x14ac:dyDescent="0.3">
      <c r="C43" s="119" t="s">
        <v>22</v>
      </c>
      <c r="D43" s="121">
        <f>SUM(D21:D42)</f>
        <v>10173</v>
      </c>
      <c r="E43" s="121">
        <f t="shared" ref="E43:L43" si="8">SUM(E21:E42)</f>
        <v>0</v>
      </c>
      <c r="F43" s="121">
        <f t="shared" si="8"/>
        <v>0</v>
      </c>
      <c r="G43" s="121">
        <f t="shared" si="8"/>
        <v>1422087.5682743094</v>
      </c>
      <c r="H43" s="121">
        <f t="shared" si="8"/>
        <v>0</v>
      </c>
      <c r="I43" s="121">
        <f t="shared" si="8"/>
        <v>1432260.5682743094</v>
      </c>
      <c r="J43" s="121">
        <f t="shared" si="8"/>
        <v>57.290422730972374</v>
      </c>
      <c r="K43" s="121">
        <f t="shared" si="8"/>
        <v>1406012</v>
      </c>
      <c r="L43" s="138">
        <f t="shared" si="8"/>
        <v>26248.568274309386</v>
      </c>
    </row>
    <row r="44" spans="2:12" x14ac:dyDescent="0.3">
      <c r="C44" s="12" t="s">
        <v>23</v>
      </c>
      <c r="D44" s="113">
        <f>D43+D18</f>
        <v>122202</v>
      </c>
      <c r="E44" s="113">
        <f t="shared" ref="E44:L44" si="9">E43+E18</f>
        <v>161236</v>
      </c>
      <c r="F44" s="113">
        <f t="shared" si="9"/>
        <v>15063</v>
      </c>
      <c r="G44" s="113">
        <f t="shared" si="9"/>
        <v>1432365.5682743094</v>
      </c>
      <c r="H44" s="113">
        <f t="shared" si="9"/>
        <v>0</v>
      </c>
      <c r="I44" s="113">
        <f t="shared" si="9"/>
        <v>1730866.5682743094</v>
      </c>
      <c r="J44" s="113">
        <f t="shared" si="9"/>
        <v>69.234662730972374</v>
      </c>
      <c r="K44" s="113">
        <f t="shared" si="9"/>
        <v>1714506</v>
      </c>
      <c r="L44" s="117">
        <f t="shared" si="9"/>
        <v>16360.568274309386</v>
      </c>
    </row>
    <row r="45" spans="2:12" x14ac:dyDescent="0.3">
      <c r="D45" s="18"/>
      <c r="E45" s="18"/>
      <c r="F45" s="18"/>
      <c r="G45" s="18"/>
      <c r="H45" s="18"/>
      <c r="I45" s="30"/>
      <c r="J45" s="18"/>
      <c r="K45" s="18"/>
      <c r="L45" s="18"/>
    </row>
    <row r="46" spans="2:12" s="4" customFormat="1" x14ac:dyDescent="0.3">
      <c r="B46" s="3" t="s">
        <v>47</v>
      </c>
      <c r="D46" s="111" t="s">
        <v>8</v>
      </c>
      <c r="E46" s="111" t="s">
        <v>9</v>
      </c>
      <c r="F46" s="111" t="s">
        <v>10</v>
      </c>
      <c r="G46" s="111" t="s">
        <v>11</v>
      </c>
      <c r="H46" s="111" t="s">
        <v>12</v>
      </c>
      <c r="I46" s="111" t="s">
        <v>13</v>
      </c>
      <c r="J46" s="111" t="s">
        <v>14</v>
      </c>
      <c r="K46" s="111" t="s">
        <v>15</v>
      </c>
      <c r="L46" s="111" t="s">
        <v>16</v>
      </c>
    </row>
    <row r="47" spans="2:12" x14ac:dyDescent="0.3">
      <c r="C47" s="141" t="s">
        <v>48</v>
      </c>
      <c r="D47" s="139">
        <v>93825</v>
      </c>
      <c r="E47" s="139">
        <v>8640</v>
      </c>
      <c r="F47" s="139">
        <v>20514</v>
      </c>
      <c r="G47" s="139">
        <v>7700</v>
      </c>
      <c r="H47" s="139">
        <v>30510</v>
      </c>
      <c r="I47" s="113">
        <f>SUM(D47:H47)</f>
        <v>161189</v>
      </c>
      <c r="J47" s="137">
        <f>I47/$E$7</f>
        <v>6.4475600000000002</v>
      </c>
      <c r="K47" s="139">
        <v>184562</v>
      </c>
      <c r="L47" s="116">
        <f t="shared" ref="L47" si="10">I47-K47</f>
        <v>-23373</v>
      </c>
    </row>
    <row r="48" spans="2:12" x14ac:dyDescent="0.3">
      <c r="C48" s="12" t="s">
        <v>23</v>
      </c>
      <c r="D48" s="113">
        <f>D47+D43+D17</f>
        <v>216027</v>
      </c>
      <c r="E48" s="113">
        <f t="shared" ref="E48:I48" si="11">E47+E43+E17</f>
        <v>169876</v>
      </c>
      <c r="F48" s="113">
        <f t="shared" si="11"/>
        <v>35577</v>
      </c>
      <c r="G48" s="113">
        <f t="shared" si="11"/>
        <v>1440065.5682743094</v>
      </c>
      <c r="H48" s="113">
        <f t="shared" si="11"/>
        <v>30510</v>
      </c>
      <c r="I48" s="113">
        <f t="shared" si="11"/>
        <v>1892055.5682743094</v>
      </c>
      <c r="J48" s="137">
        <f>I48/$E$7</f>
        <v>75.68222273097237</v>
      </c>
      <c r="K48" s="113">
        <f>K47+K44</f>
        <v>1899068</v>
      </c>
      <c r="L48" s="117">
        <f>L47+L44</f>
        <v>-7012.4317256906143</v>
      </c>
    </row>
    <row r="49" spans="2:16" x14ac:dyDescent="0.3">
      <c r="D49" s="18"/>
      <c r="E49" s="18"/>
      <c r="F49" s="18"/>
      <c r="G49" s="18"/>
      <c r="H49" s="18"/>
      <c r="I49" s="30"/>
      <c r="J49" s="18"/>
      <c r="K49" s="18"/>
      <c r="L49" s="18"/>
    </row>
    <row r="50" spans="2:16" s="4" customFormat="1" x14ac:dyDescent="0.3">
      <c r="B50" s="3" t="s">
        <v>49</v>
      </c>
      <c r="D50" s="111" t="s">
        <v>8</v>
      </c>
      <c r="E50" s="111" t="s">
        <v>9</v>
      </c>
      <c r="F50" s="111" t="s">
        <v>10</v>
      </c>
      <c r="G50" s="111" t="s">
        <v>11</v>
      </c>
      <c r="H50" s="111" t="s">
        <v>12</v>
      </c>
      <c r="I50" s="111" t="s">
        <v>13</v>
      </c>
      <c r="J50" s="111" t="s">
        <v>14</v>
      </c>
      <c r="K50" s="111" t="s">
        <v>15</v>
      </c>
      <c r="L50" s="111" t="s">
        <v>16</v>
      </c>
    </row>
    <row r="51" spans="2:16" x14ac:dyDescent="0.3">
      <c r="B51" s="106">
        <v>0.03</v>
      </c>
      <c r="C51" s="11" t="s">
        <v>50</v>
      </c>
      <c r="D51" s="114"/>
      <c r="E51" s="114"/>
      <c r="F51" s="114"/>
      <c r="G51" s="114"/>
      <c r="H51" s="129">
        <f>B51*D48</f>
        <v>6480.8099999999995</v>
      </c>
      <c r="I51" s="113">
        <f t="shared" ref="I51:I57" si="12">SUM(D51:H51)</f>
        <v>6480.8099999999995</v>
      </c>
      <c r="J51" s="134">
        <f t="shared" ref="J51:J57" si="13">I51/$E$7</f>
        <v>0.25923239999999997</v>
      </c>
      <c r="K51" s="216">
        <v>5421</v>
      </c>
      <c r="L51" s="115">
        <f t="shared" ref="L51:L57" si="14">I51-K51</f>
        <v>1059.8099999999995</v>
      </c>
    </row>
    <row r="52" spans="2:16" x14ac:dyDescent="0.3">
      <c r="B52" s="106">
        <v>0.25</v>
      </c>
      <c r="C52" s="11" t="s">
        <v>51</v>
      </c>
      <c r="D52" s="114"/>
      <c r="E52" s="114"/>
      <c r="F52" s="114"/>
      <c r="G52" s="114"/>
      <c r="H52" s="129">
        <f>D48*B52</f>
        <v>54006.75</v>
      </c>
      <c r="I52" s="113">
        <f t="shared" si="12"/>
        <v>54006.75</v>
      </c>
      <c r="J52" s="134">
        <f t="shared" si="13"/>
        <v>2.1602700000000001</v>
      </c>
      <c r="K52" s="216">
        <v>54000</v>
      </c>
      <c r="L52" s="115">
        <f t="shared" si="14"/>
        <v>6.75</v>
      </c>
    </row>
    <row r="53" spans="2:16" x14ac:dyDescent="0.3">
      <c r="B53" s="106">
        <v>0.12</v>
      </c>
      <c r="C53" s="11" t="s">
        <v>52</v>
      </c>
      <c r="D53" s="114"/>
      <c r="E53" s="114"/>
      <c r="F53" s="114"/>
      <c r="G53" s="114"/>
      <c r="H53" s="129">
        <f>E48*B53</f>
        <v>20385.12</v>
      </c>
      <c r="I53" s="113">
        <f t="shared" si="12"/>
        <v>20385.12</v>
      </c>
      <c r="J53" s="134">
        <f t="shared" si="13"/>
        <v>0.81540479999999993</v>
      </c>
      <c r="K53" s="216">
        <v>19985</v>
      </c>
      <c r="L53" s="115">
        <f t="shared" si="14"/>
        <v>400.11999999999898</v>
      </c>
    </row>
    <row r="54" spans="2:16" x14ac:dyDescent="0.3">
      <c r="C54" s="11" t="s">
        <v>53</v>
      </c>
      <c r="D54" s="114"/>
      <c r="E54" s="114"/>
      <c r="F54" s="114"/>
      <c r="G54" s="114"/>
      <c r="H54" s="114">
        <v>12600</v>
      </c>
      <c r="I54" s="113">
        <f t="shared" si="12"/>
        <v>12600</v>
      </c>
      <c r="J54" s="134">
        <f t="shared" si="13"/>
        <v>0.504</v>
      </c>
      <c r="K54" s="216">
        <v>12137</v>
      </c>
      <c r="L54" s="115">
        <f t="shared" si="14"/>
        <v>463</v>
      </c>
      <c r="O54" s="140">
        <f>I59/1000*6</f>
        <v>12654.319489645859</v>
      </c>
      <c r="P54" s="14"/>
    </row>
    <row r="55" spans="2:16" x14ac:dyDescent="0.3">
      <c r="C55" s="11" t="s">
        <v>54</v>
      </c>
      <c r="D55" s="114"/>
      <c r="E55" s="114"/>
      <c r="F55" s="114"/>
      <c r="G55" s="114"/>
      <c r="H55" s="114">
        <v>15225</v>
      </c>
      <c r="I55" s="113">
        <f t="shared" si="12"/>
        <v>15225</v>
      </c>
      <c r="J55" s="134">
        <f t="shared" si="13"/>
        <v>0.60899999999999999</v>
      </c>
      <c r="K55" s="216">
        <v>15225</v>
      </c>
      <c r="L55" s="115">
        <f t="shared" si="14"/>
        <v>0</v>
      </c>
      <c r="O55" s="14">
        <f>I59/1000*7.25</f>
        <v>15290.636049988745</v>
      </c>
    </row>
    <row r="56" spans="2:16" x14ac:dyDescent="0.3">
      <c r="C56" s="11" t="s">
        <v>55</v>
      </c>
      <c r="D56" s="114"/>
      <c r="E56" s="114"/>
      <c r="F56" s="114"/>
      <c r="G56" s="114"/>
      <c r="H56" s="114">
        <v>6300</v>
      </c>
      <c r="I56" s="113">
        <f t="shared" si="12"/>
        <v>6300</v>
      </c>
      <c r="J56" s="134">
        <f t="shared" si="13"/>
        <v>0.252</v>
      </c>
      <c r="K56" s="216">
        <v>6120</v>
      </c>
      <c r="L56" s="115">
        <f t="shared" si="14"/>
        <v>180</v>
      </c>
      <c r="O56" s="14">
        <f>I59/1000*3</f>
        <v>6327.1597448229295</v>
      </c>
    </row>
    <row r="57" spans="2:16" ht="15" thickBot="1" x14ac:dyDescent="0.35">
      <c r="C57" s="120" t="s">
        <v>56</v>
      </c>
      <c r="D57" s="126"/>
      <c r="E57" s="126"/>
      <c r="F57" s="126"/>
      <c r="G57" s="126"/>
      <c r="H57" s="126">
        <v>102000</v>
      </c>
      <c r="I57" s="128">
        <f t="shared" si="12"/>
        <v>102000</v>
      </c>
      <c r="J57" s="135">
        <f t="shared" si="13"/>
        <v>4.08</v>
      </c>
      <c r="K57" s="217">
        <v>81700</v>
      </c>
      <c r="L57" s="127">
        <f t="shared" si="14"/>
        <v>20300</v>
      </c>
      <c r="O57" s="107">
        <f>H57/I59</f>
        <v>4.8362932554433823E-2</v>
      </c>
    </row>
    <row r="58" spans="2:16" s="1" customFormat="1" ht="15" thickTop="1" x14ac:dyDescent="0.3">
      <c r="C58" s="119" t="s">
        <v>22</v>
      </c>
      <c r="D58" s="121">
        <f>SUM(D51:D57)</f>
        <v>0</v>
      </c>
      <c r="E58" s="121">
        <f t="shared" ref="E58:I58" si="15">SUM(E51:E57)</f>
        <v>0</v>
      </c>
      <c r="F58" s="121">
        <f t="shared" si="15"/>
        <v>0</v>
      </c>
      <c r="G58" s="121">
        <f t="shared" si="15"/>
        <v>0</v>
      </c>
      <c r="H58" s="121">
        <f t="shared" si="15"/>
        <v>216997.68</v>
      </c>
      <c r="I58" s="121">
        <f t="shared" si="15"/>
        <v>216997.68</v>
      </c>
      <c r="J58" s="136">
        <f t="shared" ref="J58" si="16">SUM(J51:J57)</f>
        <v>8.6799071999999988</v>
      </c>
      <c r="K58" s="121">
        <f t="shared" ref="K58" si="17">SUM(K51:K57)</f>
        <v>194588</v>
      </c>
      <c r="L58" s="122">
        <f t="shared" ref="L58" si="18">I58-K58</f>
        <v>22409.679999999993</v>
      </c>
    </row>
    <row r="59" spans="2:16" x14ac:dyDescent="0.3">
      <c r="C59" s="12" t="s">
        <v>57</v>
      </c>
      <c r="D59" s="113">
        <f>D58+D48</f>
        <v>216027</v>
      </c>
      <c r="E59" s="113">
        <f t="shared" ref="E59:I59" si="19">E58+E48</f>
        <v>169876</v>
      </c>
      <c r="F59" s="113">
        <f t="shared" si="19"/>
        <v>35577</v>
      </c>
      <c r="G59" s="113">
        <f t="shared" si="19"/>
        <v>1440065.5682743094</v>
      </c>
      <c r="H59" s="113">
        <f t="shared" si="19"/>
        <v>247507.68</v>
      </c>
      <c r="I59" s="113">
        <f t="shared" si="19"/>
        <v>2109053.2482743096</v>
      </c>
      <c r="J59" s="137">
        <f t="shared" ref="J59" si="20">J58+J48</f>
        <v>84.362129930972372</v>
      </c>
      <c r="K59" s="113">
        <f t="shared" ref="K59:L59" si="21">K58+K48</f>
        <v>2093656</v>
      </c>
      <c r="L59" s="117">
        <f t="shared" si="21"/>
        <v>15397.248274309379</v>
      </c>
    </row>
    <row r="60" spans="2:16" x14ac:dyDescent="0.3">
      <c r="I60" s="101"/>
    </row>
  </sheetData>
  <hyperlinks>
    <hyperlink ref="C12" location="Excavation!A1" display="Excavation &amp; Backfill" xr:uid="{00000000-0004-0000-0000-000000000000}"/>
    <hyperlink ref="C13:C15" location="Concrete!A1" display="Formwork" xr:uid="{00000000-0004-0000-0000-000001000000}"/>
    <hyperlink ref="C28" location="Carpentry!A1" display="Carpentry" xr:uid="{00000000-0004-0000-0000-000002000000}"/>
    <hyperlink ref="C16" location="Masonry!A1" display="Masonry Work" xr:uid="{00000000-0004-0000-0000-000003000000}"/>
    <hyperlink ref="C13" location="Concrete!A1" display="Formwork" xr:uid="{00000000-0004-0000-0000-000004000000}"/>
    <hyperlink ref="C47" location="'Gen Exp'!A1" display="General Expenses Subtotal" xr:uid="{00000000-0004-0000-0000-000005000000}"/>
  </hyperlinks>
  <pageMargins left="0.45" right="0.45" top="0.5" bottom="0.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8:Q21"/>
  <sheetViews>
    <sheetView showGridLines="0" workbookViewId="0"/>
  </sheetViews>
  <sheetFormatPr defaultRowHeight="14.4" x14ac:dyDescent="0.3"/>
  <sheetData>
    <row r="8" spans="6:17" x14ac:dyDescent="0.3"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6:17" x14ac:dyDescent="0.3"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6:17" x14ac:dyDescent="0.3"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</row>
    <row r="11" spans="6:17" x14ac:dyDescent="0.3"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</row>
    <row r="12" spans="6:17" x14ac:dyDescent="0.3"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</row>
    <row r="13" spans="6:17" x14ac:dyDescent="0.3"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6:17" x14ac:dyDescent="0.3"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</row>
    <row r="15" spans="6:17" x14ac:dyDescent="0.3"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</row>
    <row r="16" spans="6:17" x14ac:dyDescent="0.3"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</row>
    <row r="17" spans="6:17" x14ac:dyDescent="0.3"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6:17" x14ac:dyDescent="0.3"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6:17" x14ac:dyDescent="0.3"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6:17" x14ac:dyDescent="0.3"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</row>
    <row r="21" spans="6:17" x14ac:dyDescent="0.3"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G209"/>
  <sheetViews>
    <sheetView showGridLines="0" view="pageBreakPreview" topLeftCell="A31" zoomScale="85" zoomScaleNormal="10" zoomScaleSheetLayoutView="85" workbookViewId="0">
      <selection activeCell="B20" sqref="B20"/>
    </sheetView>
  </sheetViews>
  <sheetFormatPr defaultRowHeight="14.4" x14ac:dyDescent="0.3"/>
  <cols>
    <col min="1" max="1" width="10.6640625" style="6" customWidth="1"/>
    <col min="2" max="2" width="4.44140625" style="86" customWidth="1"/>
    <col min="3" max="3" width="20.6640625" customWidth="1"/>
    <col min="4" max="4" width="15.109375" style="18" customWidth="1"/>
    <col min="5" max="6" width="10.6640625" style="18" customWidth="1"/>
    <col min="7" max="7" width="11.88671875" style="18" customWidth="1"/>
    <col min="8" max="8" width="10.6640625" customWidth="1"/>
    <col min="9" max="9" width="13.88671875" customWidth="1"/>
    <col min="10" max="11" width="10" customWidth="1"/>
    <col min="12" max="12" width="12" customWidth="1"/>
    <col min="13" max="13" width="10.109375" style="17" customWidth="1"/>
    <col min="14" max="14" width="13.44140625" style="17" customWidth="1"/>
    <col min="15" max="15" width="3.5546875" customWidth="1"/>
    <col min="16" max="16" width="16.44140625" customWidth="1"/>
    <col min="17" max="17" width="13.88671875" customWidth="1"/>
    <col min="18" max="20" width="10.6640625" customWidth="1"/>
    <col min="21" max="21" width="13" customWidth="1"/>
    <col min="22" max="22" width="12" customWidth="1"/>
    <col min="23" max="23" width="14.88671875" customWidth="1"/>
    <col min="24" max="24" width="3.44140625" customWidth="1"/>
    <col min="25" max="25" width="10.33203125" customWidth="1"/>
    <col min="30" max="30" width="16.6640625" customWidth="1"/>
    <col min="36" max="36" width="18.109375" customWidth="1"/>
    <col min="56" max="56" width="9.6640625" bestFit="1" customWidth="1"/>
  </cols>
  <sheetData>
    <row r="2" spans="2:59" x14ac:dyDescent="0.3">
      <c r="U2" s="75" t="s">
        <v>58</v>
      </c>
    </row>
    <row r="3" spans="2:59" x14ac:dyDescent="0.3">
      <c r="U3" s="75" t="s">
        <v>59</v>
      </c>
    </row>
    <row r="4" spans="2:59" x14ac:dyDescent="0.3">
      <c r="U4" s="75" t="s">
        <v>60</v>
      </c>
    </row>
    <row r="5" spans="2:59" x14ac:dyDescent="0.3">
      <c r="U5" s="75" t="s">
        <v>61</v>
      </c>
    </row>
    <row r="6" spans="2:59" x14ac:dyDescent="0.3">
      <c r="U6" s="75" t="s">
        <v>62</v>
      </c>
    </row>
    <row r="7" spans="2:59" x14ac:dyDescent="0.3">
      <c r="U7" s="75" t="s">
        <v>63</v>
      </c>
    </row>
    <row r="8" spans="2:59" ht="23.4" x14ac:dyDescent="0.45">
      <c r="B8" s="16" t="s">
        <v>9</v>
      </c>
      <c r="O8" s="16" t="s">
        <v>8</v>
      </c>
      <c r="U8" s="75" t="s">
        <v>64</v>
      </c>
    </row>
    <row r="10" spans="2:59" x14ac:dyDescent="0.3">
      <c r="B10" s="87" t="s">
        <v>65</v>
      </c>
      <c r="H10" s="143" t="s">
        <v>66</v>
      </c>
      <c r="O10" s="87" t="s">
        <v>65</v>
      </c>
    </row>
    <row r="11" spans="2:59" x14ac:dyDescent="0.3">
      <c r="C11" s="20" t="s">
        <v>67</v>
      </c>
      <c r="D11" s="20" t="s">
        <v>68</v>
      </c>
      <c r="E11" s="21" t="s">
        <v>69</v>
      </c>
      <c r="F11" s="21" t="s">
        <v>70</v>
      </c>
      <c r="G11" s="21" t="s">
        <v>71</v>
      </c>
      <c r="H11" s="21" t="s">
        <v>72</v>
      </c>
      <c r="I11" s="21" t="s">
        <v>73</v>
      </c>
      <c r="J11" s="21" t="s">
        <v>74</v>
      </c>
      <c r="P11" s="21" t="s">
        <v>75</v>
      </c>
      <c r="Q11" s="21" t="s">
        <v>76</v>
      </c>
      <c r="R11" s="20" t="s">
        <v>77</v>
      </c>
      <c r="S11" s="21" t="s">
        <v>78</v>
      </c>
      <c r="T11" s="21" t="s">
        <v>79</v>
      </c>
      <c r="U11" s="21" t="s">
        <v>80</v>
      </c>
      <c r="V11" s="21" t="s">
        <v>81</v>
      </c>
      <c r="W11" s="21" t="s">
        <v>82</v>
      </c>
      <c r="BD11" s="6"/>
      <c r="BE11" s="6"/>
      <c r="BF11" s="6"/>
      <c r="BG11" s="6"/>
    </row>
    <row r="12" spans="2:59" x14ac:dyDescent="0.3">
      <c r="B12" s="131"/>
      <c r="C12" s="22" t="s">
        <v>83</v>
      </c>
      <c r="D12" s="130" t="s">
        <v>84</v>
      </c>
      <c r="E12" s="23">
        <v>413</v>
      </c>
      <c r="F12" s="102">
        <v>1.1000000000000001</v>
      </c>
      <c r="G12" s="102">
        <v>16</v>
      </c>
      <c r="H12" s="146">
        <f t="shared" ref="H12:H17" si="0">IF(C12="","",ROUNDUP(E12*F12/G12,0))</f>
        <v>29</v>
      </c>
      <c r="I12" s="152">
        <f t="shared" ref="I12:I17" si="1">IF(C12="","",VLOOKUP(D12,$C$134:$E$135,3,0))</f>
        <v>5.7889999999999997</v>
      </c>
      <c r="J12" s="152">
        <f t="shared" ref="J12:J17" si="2">IF(C12="","",H12*I12)</f>
        <v>167.881</v>
      </c>
      <c r="K12" s="143"/>
      <c r="P12" s="155">
        <f t="shared" ref="P12:P17" si="3">IF(C12="","",VLOOKUP(D12,$C$134:$F$135,4,0))</f>
        <v>10.666666666666666</v>
      </c>
      <c r="Q12" s="156">
        <f>IF(C12="","",H12*P12)</f>
        <v>309.33333333333331</v>
      </c>
      <c r="R12" s="157" t="s">
        <v>85</v>
      </c>
      <c r="S12" s="156" t="str">
        <f t="shared" ref="S12:S17" si="4">IF(C12="","",VLOOKUP(R12,$AD$138:$AG$139,4,0))</f>
        <v>BF/Hr</v>
      </c>
      <c r="T12" s="158">
        <f t="shared" ref="T12:T17" si="5">IF(C12="","",VLOOKUP(R12,$AD$138:$AG$139,2,0))</f>
        <v>63</v>
      </c>
      <c r="U12" s="158">
        <f t="shared" ref="U12:U17" si="6">IF(C12="","",VLOOKUP(R12,$AD$138:$AG$139,3,0))</f>
        <v>68</v>
      </c>
      <c r="V12" s="159">
        <v>68</v>
      </c>
      <c r="W12" s="176">
        <f t="shared" ref="W12:W17" si="7">IF(C12="","",Q12/V12)</f>
        <v>4.5490196078431371</v>
      </c>
      <c r="BD12" s="6"/>
      <c r="BE12" s="27"/>
      <c r="BF12" s="27"/>
      <c r="BG12" s="6"/>
    </row>
    <row r="13" spans="2:59" x14ac:dyDescent="0.3">
      <c r="B13" s="131"/>
      <c r="C13" s="22" t="s">
        <v>86</v>
      </c>
      <c r="D13" s="130" t="s">
        <v>87</v>
      </c>
      <c r="E13" s="23">
        <v>22</v>
      </c>
      <c r="F13" s="102">
        <v>1.1000000000000001</v>
      </c>
      <c r="G13" s="102">
        <v>16</v>
      </c>
      <c r="H13" s="146">
        <f t="shared" si="0"/>
        <v>2</v>
      </c>
      <c r="I13" s="152">
        <f t="shared" si="1"/>
        <v>8.3509999999999991</v>
      </c>
      <c r="J13" s="152">
        <f t="shared" si="2"/>
        <v>16.701999999999998</v>
      </c>
      <c r="K13" s="143"/>
      <c r="P13" s="155">
        <f t="shared" si="3"/>
        <v>16</v>
      </c>
      <c r="Q13" s="156">
        <f t="shared" ref="Q13:Q17" si="8">IF(P13="","",H13*P13)</f>
        <v>32</v>
      </c>
      <c r="R13" s="157" t="s">
        <v>88</v>
      </c>
      <c r="S13" s="156" t="str">
        <f t="shared" si="4"/>
        <v>BF/Hr</v>
      </c>
      <c r="T13" s="158">
        <f t="shared" si="5"/>
        <v>90</v>
      </c>
      <c r="U13" s="158">
        <f t="shared" si="6"/>
        <v>95</v>
      </c>
      <c r="V13" s="159">
        <v>95</v>
      </c>
      <c r="W13" s="176">
        <f t="shared" si="7"/>
        <v>0.33684210526315789</v>
      </c>
      <c r="BD13" s="6"/>
      <c r="BE13" s="6"/>
      <c r="BF13" s="6"/>
      <c r="BG13" s="6"/>
    </row>
    <row r="14" spans="2:59" x14ac:dyDescent="0.3">
      <c r="B14" s="131"/>
      <c r="C14" s="22" t="s">
        <v>89</v>
      </c>
      <c r="D14" s="130" t="s">
        <v>84</v>
      </c>
      <c r="E14" s="23">
        <v>87</v>
      </c>
      <c r="F14" s="102">
        <v>1.1000000000000001</v>
      </c>
      <c r="G14" s="102">
        <v>16</v>
      </c>
      <c r="H14" s="146">
        <f t="shared" si="0"/>
        <v>6</v>
      </c>
      <c r="I14" s="152">
        <f t="shared" si="1"/>
        <v>5.7889999999999997</v>
      </c>
      <c r="J14" s="152">
        <f t="shared" si="2"/>
        <v>34.733999999999995</v>
      </c>
      <c r="K14" s="143"/>
      <c r="P14" s="155">
        <f t="shared" si="3"/>
        <v>10.666666666666666</v>
      </c>
      <c r="Q14" s="156">
        <f t="shared" si="8"/>
        <v>64</v>
      </c>
      <c r="R14" s="157" t="s">
        <v>85</v>
      </c>
      <c r="S14" s="156" t="str">
        <f t="shared" si="4"/>
        <v>BF/Hr</v>
      </c>
      <c r="T14" s="158">
        <f t="shared" si="5"/>
        <v>63</v>
      </c>
      <c r="U14" s="158">
        <f t="shared" si="6"/>
        <v>68</v>
      </c>
      <c r="V14" s="159">
        <v>68</v>
      </c>
      <c r="W14" s="176">
        <f t="shared" si="7"/>
        <v>0.94117647058823528</v>
      </c>
      <c r="BD14" s="6"/>
      <c r="BE14" s="6"/>
      <c r="BF14" s="6"/>
      <c r="BG14" s="6"/>
    </row>
    <row r="15" spans="2:59" x14ac:dyDescent="0.3">
      <c r="B15" s="132"/>
      <c r="C15" s="22"/>
      <c r="D15" s="130"/>
      <c r="E15" s="23"/>
      <c r="F15" s="102"/>
      <c r="G15" s="102"/>
      <c r="H15" s="146" t="str">
        <f t="shared" si="0"/>
        <v/>
      </c>
      <c r="I15" s="152" t="str">
        <f t="shared" si="1"/>
        <v/>
      </c>
      <c r="J15" s="152" t="str">
        <f t="shared" si="2"/>
        <v/>
      </c>
      <c r="K15" s="143"/>
      <c r="P15" s="155" t="str">
        <f t="shared" si="3"/>
        <v/>
      </c>
      <c r="Q15" s="156" t="str">
        <f t="shared" si="8"/>
        <v/>
      </c>
      <c r="R15" s="157"/>
      <c r="S15" s="156" t="str">
        <f t="shared" si="4"/>
        <v/>
      </c>
      <c r="T15" s="158" t="str">
        <f t="shared" si="5"/>
        <v/>
      </c>
      <c r="U15" s="158" t="str">
        <f t="shared" si="6"/>
        <v/>
      </c>
      <c r="V15" s="159"/>
      <c r="W15" s="176" t="str">
        <f t="shared" si="7"/>
        <v/>
      </c>
      <c r="BD15" s="6"/>
      <c r="BE15" s="6"/>
      <c r="BF15" s="6"/>
      <c r="BG15" s="6"/>
    </row>
    <row r="16" spans="2:59" x14ac:dyDescent="0.3">
      <c r="B16" s="132"/>
      <c r="C16" s="22"/>
      <c r="D16" s="130"/>
      <c r="E16" s="23"/>
      <c r="F16" s="102"/>
      <c r="G16" s="102"/>
      <c r="H16" s="146" t="str">
        <f t="shared" si="0"/>
        <v/>
      </c>
      <c r="I16" s="152" t="str">
        <f t="shared" si="1"/>
        <v/>
      </c>
      <c r="J16" s="152" t="str">
        <f t="shared" si="2"/>
        <v/>
      </c>
      <c r="K16" s="143"/>
      <c r="P16" s="155" t="str">
        <f t="shared" si="3"/>
        <v/>
      </c>
      <c r="Q16" s="156" t="str">
        <f t="shared" si="8"/>
        <v/>
      </c>
      <c r="R16" s="157"/>
      <c r="S16" s="156" t="str">
        <f t="shared" si="4"/>
        <v/>
      </c>
      <c r="T16" s="158" t="str">
        <f t="shared" si="5"/>
        <v/>
      </c>
      <c r="U16" s="158" t="str">
        <f t="shared" si="6"/>
        <v/>
      </c>
      <c r="V16" s="159"/>
      <c r="W16" s="176" t="str">
        <f t="shared" si="7"/>
        <v/>
      </c>
      <c r="BD16" s="6"/>
      <c r="BE16" s="6"/>
      <c r="BF16" s="6"/>
      <c r="BG16" s="6"/>
    </row>
    <row r="17" spans="2:59" x14ac:dyDescent="0.3">
      <c r="B17" s="132"/>
      <c r="C17" s="22"/>
      <c r="D17" s="130"/>
      <c r="E17" s="23"/>
      <c r="F17" s="102"/>
      <c r="G17" s="102"/>
      <c r="H17" s="146" t="str">
        <f t="shared" si="0"/>
        <v/>
      </c>
      <c r="I17" s="152" t="str">
        <f t="shared" si="1"/>
        <v/>
      </c>
      <c r="J17" s="152" t="str">
        <f t="shared" si="2"/>
        <v/>
      </c>
      <c r="K17" s="143"/>
      <c r="P17" s="155" t="str">
        <f t="shared" si="3"/>
        <v/>
      </c>
      <c r="Q17" s="156" t="str">
        <f t="shared" si="8"/>
        <v/>
      </c>
      <c r="R17" s="157"/>
      <c r="S17" s="156" t="str">
        <f t="shared" si="4"/>
        <v/>
      </c>
      <c r="T17" s="158" t="str">
        <f t="shared" si="5"/>
        <v/>
      </c>
      <c r="U17" s="158" t="str">
        <f t="shared" si="6"/>
        <v/>
      </c>
      <c r="V17" s="159" t="str">
        <f t="shared" ref="V17" si="9">IF(U17="","",Q17*U17)</f>
        <v/>
      </c>
      <c r="W17" s="176" t="str">
        <f t="shared" si="7"/>
        <v/>
      </c>
      <c r="BD17" s="6"/>
      <c r="BE17" s="6"/>
      <c r="BF17" s="6"/>
      <c r="BG17" s="6"/>
    </row>
    <row r="18" spans="2:59" x14ac:dyDescent="0.3">
      <c r="C18" s="2"/>
      <c r="E18" s="31">
        <f>SUM(E12:E17)</f>
        <v>522</v>
      </c>
      <c r="H18" s="31">
        <f>SUM(H12:H17)</f>
        <v>37</v>
      </c>
      <c r="I18" s="18"/>
      <c r="J18" s="142">
        <f>SUM(J12:J17)</f>
        <v>219.31700000000001</v>
      </c>
      <c r="W18" s="57">
        <f>SUM(W12:W17)</f>
        <v>5.8270381836945306</v>
      </c>
    </row>
    <row r="19" spans="2:59" x14ac:dyDescent="0.3">
      <c r="C19" s="2"/>
      <c r="H19" s="18"/>
      <c r="I19" s="18"/>
    </row>
    <row r="20" spans="2:59" x14ac:dyDescent="0.3">
      <c r="B20" s="87" t="s">
        <v>90</v>
      </c>
      <c r="C20" s="2"/>
      <c r="H20" s="18"/>
      <c r="I20" s="144" t="s">
        <v>91</v>
      </c>
      <c r="O20" s="87" t="s">
        <v>90</v>
      </c>
    </row>
    <row r="21" spans="2:59" x14ac:dyDescent="0.3">
      <c r="C21" s="20" t="s">
        <v>67</v>
      </c>
      <c r="D21" s="20" t="s">
        <v>68</v>
      </c>
      <c r="E21" s="21" t="s">
        <v>69</v>
      </c>
      <c r="F21" s="21" t="s">
        <v>70</v>
      </c>
      <c r="G21" s="21" t="s">
        <v>92</v>
      </c>
      <c r="H21" s="21" t="s">
        <v>93</v>
      </c>
      <c r="I21" s="21" t="s">
        <v>94</v>
      </c>
      <c r="J21" s="21" t="s">
        <v>73</v>
      </c>
      <c r="K21" s="21" t="s">
        <v>74</v>
      </c>
      <c r="P21" s="21" t="s">
        <v>75</v>
      </c>
      <c r="Q21" s="21" t="s">
        <v>76</v>
      </c>
      <c r="R21" s="20" t="s">
        <v>77</v>
      </c>
      <c r="S21" s="21" t="s">
        <v>78</v>
      </c>
      <c r="T21" s="21" t="s">
        <v>79</v>
      </c>
      <c r="U21" s="21" t="s">
        <v>80</v>
      </c>
      <c r="V21" s="21" t="s">
        <v>81</v>
      </c>
      <c r="W21" s="21" t="s">
        <v>82</v>
      </c>
    </row>
    <row r="22" spans="2:59" x14ac:dyDescent="0.3">
      <c r="C22" s="22" t="s">
        <v>95</v>
      </c>
      <c r="D22" s="130" t="s">
        <v>96</v>
      </c>
      <c r="E22" s="23">
        <v>208</v>
      </c>
      <c r="F22" s="102">
        <v>1.1000000000000001</v>
      </c>
      <c r="G22" s="102">
        <v>16</v>
      </c>
      <c r="H22" s="23">
        <v>2</v>
      </c>
      <c r="I22" s="145">
        <f t="shared" ref="I22:I29" si="10">IF(C22="","",ROUNDUP(E22*F22/G22*H22,0))</f>
        <v>29</v>
      </c>
      <c r="J22" s="151">
        <f t="shared" ref="J22:J29" si="11">IF(C22="","",VLOOKUP(D22,$C$137:$E$151,3,0))</f>
        <v>5.85</v>
      </c>
      <c r="K22" s="151">
        <f t="shared" ref="K22:K29" si="12">IF(C22="","",I22*J22)</f>
        <v>169.64999999999998</v>
      </c>
      <c r="L22" s="24"/>
      <c r="P22" s="155">
        <f>IF(C22="","",VLOOKUP(D22,$C$137:$F$151,4,0))</f>
        <v>10.666666666666666</v>
      </c>
      <c r="Q22" s="156">
        <f>IF(C22="","",I22*P22)</f>
        <v>309.33333333333331</v>
      </c>
      <c r="R22" s="157" t="s">
        <v>85</v>
      </c>
      <c r="S22" s="156" t="str">
        <f>IF(C22="","",VLOOKUP(R22,$AD$138:$AG$139,4,0))</f>
        <v>BF/Hr</v>
      </c>
      <c r="T22" s="158">
        <f>IF(C22="","",VLOOKUP(R22,$AD$138:$AG$139,2,0))</f>
        <v>63</v>
      </c>
      <c r="U22" s="158">
        <f>IF(C22="","",VLOOKUP(R22,$AD$138:$AG$139,3,0))</f>
        <v>68</v>
      </c>
      <c r="V22" s="159">
        <v>68</v>
      </c>
      <c r="W22" s="176">
        <f>IF(C22="","",Q22/V22)</f>
        <v>4.5490196078431371</v>
      </c>
    </row>
    <row r="23" spans="2:59" x14ac:dyDescent="0.3">
      <c r="C23" s="22" t="s">
        <v>97</v>
      </c>
      <c r="D23" s="130" t="s">
        <v>98</v>
      </c>
      <c r="E23" s="23">
        <v>16</v>
      </c>
      <c r="F23" s="102">
        <v>1.1000000000000001</v>
      </c>
      <c r="G23" s="102">
        <v>16</v>
      </c>
      <c r="H23" s="23">
        <v>2</v>
      </c>
      <c r="I23" s="145">
        <f t="shared" si="10"/>
        <v>3</v>
      </c>
      <c r="J23" s="151">
        <f t="shared" si="11"/>
        <v>9.14</v>
      </c>
      <c r="K23" s="151">
        <f t="shared" si="12"/>
        <v>27.42</v>
      </c>
      <c r="L23" s="24"/>
      <c r="P23" s="155">
        <f>IF(C23="","",VLOOKUP(D23,$C$137:$F$151,4,0))</f>
        <v>16</v>
      </c>
      <c r="Q23" s="156">
        <f>IF(C23="","",I23*P23)</f>
        <v>48</v>
      </c>
      <c r="R23" s="157" t="s">
        <v>88</v>
      </c>
      <c r="S23" s="156" t="str">
        <f>IF(C23="","",VLOOKUP(R23,$AD$138:$AG$139,4,0))</f>
        <v>BF/Hr</v>
      </c>
      <c r="T23" s="158">
        <f>IF(C23="","",VLOOKUP(R23,$AD$138:$AG$139,2,0))</f>
        <v>90</v>
      </c>
      <c r="U23" s="158">
        <f>IF(C23="","",VLOOKUP(R23,$AD$138:$AG$139,3,0))</f>
        <v>95</v>
      </c>
      <c r="V23" s="159">
        <v>95</v>
      </c>
      <c r="W23" s="176">
        <f>IF(C23="","",Q23/V23)</f>
        <v>0.50526315789473686</v>
      </c>
    </row>
    <row r="24" spans="2:59" x14ac:dyDescent="0.3">
      <c r="C24" s="22" t="s">
        <v>99</v>
      </c>
      <c r="D24" s="130" t="s">
        <v>98</v>
      </c>
      <c r="E24" s="23">
        <v>194</v>
      </c>
      <c r="F24" s="102">
        <v>1.1000000000000001</v>
      </c>
      <c r="G24" s="102">
        <v>16</v>
      </c>
      <c r="H24" s="23">
        <v>3</v>
      </c>
      <c r="I24" s="145">
        <f t="shared" si="10"/>
        <v>41</v>
      </c>
      <c r="J24" s="151">
        <f t="shared" si="11"/>
        <v>9.14</v>
      </c>
      <c r="K24" s="151">
        <f t="shared" si="12"/>
        <v>374.74</v>
      </c>
      <c r="L24" s="24"/>
      <c r="P24" s="155">
        <f>IF(C24="","",VLOOKUP(D24,$C$137:$F$151,4,0))</f>
        <v>16</v>
      </c>
      <c r="Q24" s="156">
        <f>IF(C24="","",I24*P24)</f>
        <v>656</v>
      </c>
      <c r="R24" s="157" t="s">
        <v>85</v>
      </c>
      <c r="S24" s="156" t="str">
        <f>IF(C24="","",VLOOKUP(R24,$AD$138:$AG$139,4,0))</f>
        <v>BF/Hr</v>
      </c>
      <c r="T24" s="158">
        <f>IF(C24="","",VLOOKUP(R24,$AD$138:$AG$139,2,0))</f>
        <v>63</v>
      </c>
      <c r="U24" s="158">
        <f>IF(C24="","",VLOOKUP(R24,$AD$138:$AG$139,3,0))</f>
        <v>68</v>
      </c>
      <c r="V24" s="159">
        <v>68</v>
      </c>
      <c r="W24" s="176">
        <f>IF(C24="","",Q24/V24)</f>
        <v>9.6470588235294112</v>
      </c>
    </row>
    <row r="25" spans="2:59" x14ac:dyDescent="0.3">
      <c r="C25" s="22" t="s">
        <v>100</v>
      </c>
      <c r="D25" s="130" t="s">
        <v>96</v>
      </c>
      <c r="E25" s="23">
        <v>385</v>
      </c>
      <c r="F25" s="102">
        <v>1.1000000000000001</v>
      </c>
      <c r="G25" s="102">
        <v>16</v>
      </c>
      <c r="H25" s="23">
        <v>3</v>
      </c>
      <c r="I25" s="145">
        <f t="shared" si="10"/>
        <v>80</v>
      </c>
      <c r="J25" s="151">
        <f t="shared" si="11"/>
        <v>5.85</v>
      </c>
      <c r="K25" s="151">
        <f t="shared" si="12"/>
        <v>468</v>
      </c>
      <c r="L25" s="24"/>
      <c r="P25" s="155">
        <f>IF(C25="","",VLOOKUP(D25,$C$137:$F$151,4,0))</f>
        <v>10.666666666666666</v>
      </c>
      <c r="Q25" s="156">
        <f>IF(C25="","",I25*P25)</f>
        <v>853.33333333333326</v>
      </c>
      <c r="R25" s="157" t="s">
        <v>85</v>
      </c>
      <c r="S25" s="156" t="str">
        <f>IF(C25="","",VLOOKUP(R25,$AD$138:$AG$139,4,0))</f>
        <v>BF/Hr</v>
      </c>
      <c r="T25" s="158">
        <f>IF(C25="","",VLOOKUP(R25,$AD$138:$AG$139,2,0))</f>
        <v>63</v>
      </c>
      <c r="U25" s="158">
        <f>IF(C25="","",VLOOKUP(R25,$AD$138:$AG$139,3,0))</f>
        <v>68</v>
      </c>
      <c r="V25" s="159">
        <v>68</v>
      </c>
      <c r="W25" s="176">
        <f>IF(C25="","",Q25/V25)</f>
        <v>12.549019607843135</v>
      </c>
    </row>
    <row r="26" spans="2:59" x14ac:dyDescent="0.3">
      <c r="C26" s="22" t="s">
        <v>101</v>
      </c>
      <c r="D26" s="130" t="s">
        <v>96</v>
      </c>
      <c r="E26" s="23">
        <v>87</v>
      </c>
      <c r="F26" s="102">
        <v>1.05</v>
      </c>
      <c r="G26" s="102">
        <v>16</v>
      </c>
      <c r="H26" s="23">
        <v>2</v>
      </c>
      <c r="I26" s="145">
        <f t="shared" si="10"/>
        <v>12</v>
      </c>
      <c r="J26" s="151">
        <f t="shared" si="11"/>
        <v>5.85</v>
      </c>
      <c r="K26" s="151">
        <f t="shared" si="12"/>
        <v>70.199999999999989</v>
      </c>
      <c r="L26" s="24"/>
      <c r="P26" s="155">
        <f>IF(C26="","",VLOOKUP(D26,$C$137:$F$151,4,0))</f>
        <v>10.666666666666666</v>
      </c>
      <c r="Q26" s="156">
        <f>IF(C26="","",I26*P26)</f>
        <v>128</v>
      </c>
      <c r="R26" s="157" t="s">
        <v>85</v>
      </c>
      <c r="S26" s="156" t="str">
        <f>IF(C26="","",VLOOKUP(R26,$AD$138:$AG$139,4,0))</f>
        <v>BF/Hr</v>
      </c>
      <c r="T26" s="158">
        <f>IF(C26="","",VLOOKUP(R26,$AD$138:$AG$139,2,0))</f>
        <v>63</v>
      </c>
      <c r="U26" s="158">
        <f>IF(C26="","",VLOOKUP(R26,$AD$138:$AG$139,3,0))</f>
        <v>68</v>
      </c>
      <c r="V26" s="159">
        <v>68</v>
      </c>
      <c r="W26" s="176">
        <f>IF(C26="","",Q26/V26)</f>
        <v>1.8823529411764706</v>
      </c>
    </row>
    <row r="27" spans="2:59" x14ac:dyDescent="0.3">
      <c r="C27" s="22" t="s">
        <v>102</v>
      </c>
      <c r="D27" s="130" t="s">
        <v>103</v>
      </c>
      <c r="E27" s="23">
        <v>300</v>
      </c>
      <c r="F27" s="102">
        <v>1</v>
      </c>
      <c r="G27" s="102">
        <v>12</v>
      </c>
      <c r="H27" s="23">
        <v>1</v>
      </c>
      <c r="I27" s="145">
        <f t="shared" si="10"/>
        <v>25</v>
      </c>
      <c r="J27" s="151">
        <f t="shared" si="11"/>
        <v>4.1900000000000004</v>
      </c>
      <c r="K27" s="151">
        <f t="shared" si="12"/>
        <v>104.75000000000001</v>
      </c>
      <c r="L27" s="24"/>
      <c r="P27" s="155">
        <f t="shared" ref="P27:P29" si="13">IF(C27="","",VLOOKUP(D27,$C$137:$F$151,4,0))</f>
        <v>8</v>
      </c>
      <c r="Q27" s="156">
        <f t="shared" ref="Q27:Q29" si="14">IF(C27="","",I27*P27)</f>
        <v>200</v>
      </c>
      <c r="R27" s="157" t="s">
        <v>85</v>
      </c>
      <c r="S27" s="156" t="str">
        <f t="shared" ref="S27:S29" si="15">IF(C27="","",VLOOKUP(R27,$AD$138:$AG$139,4,0))</f>
        <v>BF/Hr</v>
      </c>
      <c r="T27" s="158">
        <f t="shared" ref="T27:T29" si="16">IF(C27="","",VLOOKUP(R27,$AD$138:$AG$139,2,0))</f>
        <v>63</v>
      </c>
      <c r="U27" s="158">
        <f t="shared" ref="U27:U29" si="17">IF(C27="","",VLOOKUP(R27,$AD$138:$AG$139,3,0))</f>
        <v>68</v>
      </c>
      <c r="V27" s="159">
        <v>68</v>
      </c>
      <c r="W27" s="176">
        <f t="shared" ref="W27:W29" si="18">IF(C27="","",Q27/V27)</f>
        <v>2.9411764705882355</v>
      </c>
    </row>
    <row r="28" spans="2:59" x14ac:dyDescent="0.3">
      <c r="C28" s="22"/>
      <c r="D28" s="130"/>
      <c r="E28" s="23"/>
      <c r="F28" s="102"/>
      <c r="G28" s="102"/>
      <c r="H28" s="23"/>
      <c r="I28" s="145" t="str">
        <f t="shared" si="10"/>
        <v/>
      </c>
      <c r="J28" s="151" t="str">
        <f t="shared" si="11"/>
        <v/>
      </c>
      <c r="K28" s="151" t="str">
        <f t="shared" si="12"/>
        <v/>
      </c>
      <c r="L28" s="24"/>
      <c r="P28" s="155" t="str">
        <f t="shared" si="13"/>
        <v/>
      </c>
      <c r="Q28" s="156" t="str">
        <f t="shared" si="14"/>
        <v/>
      </c>
      <c r="R28" s="157"/>
      <c r="S28" s="156" t="str">
        <f t="shared" si="15"/>
        <v/>
      </c>
      <c r="T28" s="158" t="str">
        <f t="shared" si="16"/>
        <v/>
      </c>
      <c r="U28" s="158" t="str">
        <f t="shared" si="17"/>
        <v/>
      </c>
      <c r="V28" s="159"/>
      <c r="W28" s="176" t="str">
        <f t="shared" si="18"/>
        <v/>
      </c>
    </row>
    <row r="29" spans="2:59" x14ac:dyDescent="0.3">
      <c r="C29" s="22"/>
      <c r="D29" s="130"/>
      <c r="E29" s="23"/>
      <c r="F29" s="102"/>
      <c r="G29" s="102"/>
      <c r="H29" s="23"/>
      <c r="I29" s="145" t="str">
        <f t="shared" si="10"/>
        <v/>
      </c>
      <c r="J29" s="151" t="str">
        <f t="shared" si="11"/>
        <v/>
      </c>
      <c r="K29" s="151" t="str">
        <f t="shared" si="12"/>
        <v/>
      </c>
      <c r="L29" s="24"/>
      <c r="P29" s="155" t="str">
        <f t="shared" si="13"/>
        <v/>
      </c>
      <c r="Q29" s="156" t="str">
        <f t="shared" si="14"/>
        <v/>
      </c>
      <c r="R29" s="157"/>
      <c r="S29" s="156" t="str">
        <f t="shared" si="15"/>
        <v/>
      </c>
      <c r="T29" s="158" t="str">
        <f t="shared" si="16"/>
        <v/>
      </c>
      <c r="U29" s="158" t="str">
        <f t="shared" si="17"/>
        <v/>
      </c>
      <c r="V29" s="159" t="str">
        <f t="shared" ref="V29" si="19">IF(U29="","",Q29*U29)</f>
        <v/>
      </c>
      <c r="W29" s="176" t="str">
        <f t="shared" si="18"/>
        <v/>
      </c>
    </row>
    <row r="30" spans="2:59" x14ac:dyDescent="0.3">
      <c r="C30" s="2"/>
      <c r="E30" s="18">
        <f>SUM(E22:E29)</f>
        <v>1190</v>
      </c>
      <c r="H30" s="18"/>
      <c r="I30" s="18">
        <f>SUM(I22:I29)</f>
        <v>190</v>
      </c>
      <c r="J30" s="18"/>
      <c r="K30" s="142">
        <f>SUM(K22:K29)</f>
        <v>1214.76</v>
      </c>
      <c r="W30" s="57">
        <f>SUM(W22:W29)</f>
        <v>32.073890608875132</v>
      </c>
    </row>
    <row r="31" spans="2:59" x14ac:dyDescent="0.3">
      <c r="C31" s="2"/>
      <c r="H31" s="18"/>
      <c r="I31" s="18"/>
    </row>
    <row r="32" spans="2:59" x14ac:dyDescent="0.3">
      <c r="B32" s="87" t="s">
        <v>104</v>
      </c>
      <c r="C32" s="2"/>
      <c r="H32" s="144" t="s">
        <v>105</v>
      </c>
      <c r="I32" s="18"/>
      <c r="O32" s="87" t="s">
        <v>104</v>
      </c>
    </row>
    <row r="33" spans="2:23" x14ac:dyDescent="0.3">
      <c r="C33" s="20" t="s">
        <v>67</v>
      </c>
      <c r="D33" s="21" t="s">
        <v>106</v>
      </c>
      <c r="E33" s="21" t="s">
        <v>107</v>
      </c>
      <c r="F33" s="21" t="s">
        <v>108</v>
      </c>
      <c r="G33" s="21" t="s">
        <v>109</v>
      </c>
      <c r="H33" s="21" t="s">
        <v>94</v>
      </c>
      <c r="I33" s="21" t="s">
        <v>110</v>
      </c>
      <c r="J33" s="21" t="s">
        <v>74</v>
      </c>
      <c r="K33" s="21"/>
      <c r="L33" s="21"/>
      <c r="P33" s="21" t="s">
        <v>75</v>
      </c>
      <c r="Q33" s="21" t="s">
        <v>76</v>
      </c>
      <c r="R33" s="20" t="s">
        <v>77</v>
      </c>
      <c r="S33" s="21" t="s">
        <v>78</v>
      </c>
      <c r="T33" s="21" t="s">
        <v>79</v>
      </c>
      <c r="U33" s="21" t="s">
        <v>80</v>
      </c>
      <c r="V33" s="21" t="s">
        <v>81</v>
      </c>
      <c r="W33" s="21" t="s">
        <v>82</v>
      </c>
    </row>
    <row r="34" spans="2:23" x14ac:dyDescent="0.3">
      <c r="C34" s="22" t="s">
        <v>111</v>
      </c>
      <c r="D34" s="130" t="s">
        <v>123</v>
      </c>
      <c r="E34" s="23">
        <v>220</v>
      </c>
      <c r="F34" s="102" t="s">
        <v>113</v>
      </c>
      <c r="G34" s="74">
        <f t="shared" ref="G34:G41" si="20">IF(C34="","",VLOOKUP(F34,$AD$189:$AE$192,2,0))</f>
        <v>1</v>
      </c>
      <c r="H34" s="145">
        <f t="shared" ref="H34:H41" si="21">IF(C34="","",ROUNDUP(E34*G34,0))</f>
        <v>220</v>
      </c>
      <c r="I34" s="152">
        <f t="shared" ref="I34:I41" si="22">IF(C34="","",VLOOKUP(D34,$C$177:$E$182,3,0))</f>
        <v>4.88</v>
      </c>
      <c r="J34" s="152">
        <f t="shared" ref="J34:J41" si="23">IF(C34="","",H34*I34)</f>
        <v>1073.5999999999999</v>
      </c>
      <c r="K34" s="33"/>
      <c r="L34" s="33"/>
      <c r="P34" s="155">
        <f t="shared" ref="P34:P41" si="24">IF(C34="","",VLOOKUP(D34,$C$177:$F$182,4,0))</f>
        <v>9</v>
      </c>
      <c r="Q34" s="156">
        <f t="shared" ref="Q34:Q41" si="25">IF(C34="","",H34*P34)</f>
        <v>1980</v>
      </c>
      <c r="R34" s="157" t="s">
        <v>114</v>
      </c>
      <c r="S34" s="156" t="str">
        <f t="shared" ref="S34:S41" si="26">IF(C34="","",VLOOKUP(R34,$AD$141:$AG$142,4,0))</f>
        <v>BF/Hr</v>
      </c>
      <c r="T34" s="158">
        <f t="shared" ref="T34:T41" si="27">IF(C34="","",VLOOKUP($R34,$AD$141:$AG$142,2,0))</f>
        <v>110</v>
      </c>
      <c r="U34" s="158">
        <f t="shared" ref="U34:U41" si="28">IF(D34="","",VLOOKUP($R34,$AD$141:$AG$142,3,0))</f>
        <v>125</v>
      </c>
      <c r="V34" s="159">
        <v>125</v>
      </c>
      <c r="W34" s="176">
        <f t="shared" ref="W34:W41" si="29">IF(C34="","",Q34/V34)</f>
        <v>15.84</v>
      </c>
    </row>
    <row r="35" spans="2:23" x14ac:dyDescent="0.3">
      <c r="C35" s="22" t="s">
        <v>115</v>
      </c>
      <c r="D35" s="130" t="s">
        <v>116</v>
      </c>
      <c r="E35" s="23">
        <v>185</v>
      </c>
      <c r="F35" s="102" t="s">
        <v>117</v>
      </c>
      <c r="G35" s="74">
        <f t="shared" si="20"/>
        <v>0.75</v>
      </c>
      <c r="H35" s="145">
        <f t="shared" si="21"/>
        <v>139</v>
      </c>
      <c r="I35" s="152">
        <f t="shared" si="22"/>
        <v>2.4300000000000002</v>
      </c>
      <c r="J35" s="152">
        <f t="shared" si="23"/>
        <v>337.77000000000004</v>
      </c>
      <c r="K35" s="33"/>
      <c r="L35" s="33"/>
      <c r="P35" s="155">
        <f t="shared" si="24"/>
        <v>5.333333333333333</v>
      </c>
      <c r="Q35" s="156">
        <f t="shared" si="25"/>
        <v>741.33333333333326</v>
      </c>
      <c r="R35" s="157" t="s">
        <v>118</v>
      </c>
      <c r="S35" s="156" t="str">
        <f t="shared" si="26"/>
        <v>BF/Hr</v>
      </c>
      <c r="T35" s="158">
        <f t="shared" si="27"/>
        <v>100</v>
      </c>
      <c r="U35" s="158">
        <f t="shared" si="28"/>
        <v>115</v>
      </c>
      <c r="V35" s="159">
        <v>115</v>
      </c>
      <c r="W35" s="176">
        <f t="shared" si="29"/>
        <v>6.4463768115942024</v>
      </c>
    </row>
    <row r="36" spans="2:23" x14ac:dyDescent="0.3">
      <c r="C36" s="22" t="s">
        <v>119</v>
      </c>
      <c r="D36" s="130" t="s">
        <v>112</v>
      </c>
      <c r="E36" s="23">
        <v>35</v>
      </c>
      <c r="F36" s="102" t="s">
        <v>117</v>
      </c>
      <c r="G36" s="74">
        <f t="shared" si="20"/>
        <v>0.75</v>
      </c>
      <c r="H36" s="145">
        <f t="shared" si="21"/>
        <v>27</v>
      </c>
      <c r="I36" s="152">
        <f t="shared" si="22"/>
        <v>4.42</v>
      </c>
      <c r="J36" s="152">
        <f t="shared" si="23"/>
        <v>119.34</v>
      </c>
      <c r="K36" s="33"/>
      <c r="L36" s="33"/>
      <c r="P36" s="155">
        <f t="shared" si="24"/>
        <v>8</v>
      </c>
      <c r="Q36" s="156">
        <f t="shared" si="25"/>
        <v>216</v>
      </c>
      <c r="R36" s="157" t="s">
        <v>114</v>
      </c>
      <c r="S36" s="156" t="str">
        <f t="shared" si="26"/>
        <v>BF/Hr</v>
      </c>
      <c r="T36" s="158">
        <f t="shared" si="27"/>
        <v>110</v>
      </c>
      <c r="U36" s="158">
        <f t="shared" si="28"/>
        <v>125</v>
      </c>
      <c r="V36" s="159">
        <v>125</v>
      </c>
      <c r="W36" s="176">
        <f t="shared" si="29"/>
        <v>1.728</v>
      </c>
    </row>
    <row r="37" spans="2:23" x14ac:dyDescent="0.3">
      <c r="C37" s="22" t="s">
        <v>120</v>
      </c>
      <c r="D37" s="130" t="s">
        <v>121</v>
      </c>
      <c r="E37" s="23">
        <v>55</v>
      </c>
      <c r="F37" s="102" t="s">
        <v>113</v>
      </c>
      <c r="G37" s="74">
        <f t="shared" si="20"/>
        <v>1</v>
      </c>
      <c r="H37" s="145">
        <f t="shared" si="21"/>
        <v>55</v>
      </c>
      <c r="I37" s="152">
        <f t="shared" si="22"/>
        <v>3.64</v>
      </c>
      <c r="J37" s="152">
        <f t="shared" si="23"/>
        <v>200.20000000000002</v>
      </c>
      <c r="K37" s="33"/>
      <c r="L37" s="34"/>
      <c r="P37" s="155">
        <f t="shared" si="24"/>
        <v>6.666666666666667</v>
      </c>
      <c r="Q37" s="156">
        <f t="shared" si="25"/>
        <v>366.66666666666669</v>
      </c>
      <c r="R37" s="157" t="s">
        <v>118</v>
      </c>
      <c r="S37" s="156" t="str">
        <f t="shared" si="26"/>
        <v>BF/Hr</v>
      </c>
      <c r="T37" s="158">
        <f t="shared" si="27"/>
        <v>100</v>
      </c>
      <c r="U37" s="158">
        <f t="shared" si="28"/>
        <v>115</v>
      </c>
      <c r="V37" s="159">
        <v>115</v>
      </c>
      <c r="W37" s="176">
        <f t="shared" si="29"/>
        <v>3.1884057971014492</v>
      </c>
    </row>
    <row r="38" spans="2:23" x14ac:dyDescent="0.3">
      <c r="C38" s="22" t="s">
        <v>122</v>
      </c>
      <c r="D38" s="130" t="s">
        <v>123</v>
      </c>
      <c r="E38" s="23">
        <v>202</v>
      </c>
      <c r="F38" s="102" t="s">
        <v>113</v>
      </c>
      <c r="G38" s="74">
        <f t="shared" si="20"/>
        <v>1</v>
      </c>
      <c r="H38" s="145">
        <f t="shared" si="21"/>
        <v>202</v>
      </c>
      <c r="I38" s="152">
        <f t="shared" si="22"/>
        <v>4.88</v>
      </c>
      <c r="J38" s="152">
        <f t="shared" si="23"/>
        <v>985.76</v>
      </c>
      <c r="K38" s="33"/>
      <c r="L38" s="34"/>
      <c r="P38" s="155">
        <f t="shared" si="24"/>
        <v>9</v>
      </c>
      <c r="Q38" s="156">
        <f t="shared" si="25"/>
        <v>1818</v>
      </c>
      <c r="R38" s="157" t="s">
        <v>114</v>
      </c>
      <c r="S38" s="156" t="str">
        <f t="shared" si="26"/>
        <v>BF/Hr</v>
      </c>
      <c r="T38" s="158">
        <f t="shared" si="27"/>
        <v>110</v>
      </c>
      <c r="U38" s="158">
        <f t="shared" si="28"/>
        <v>125</v>
      </c>
      <c r="V38" s="159">
        <v>125</v>
      </c>
      <c r="W38" s="176">
        <f t="shared" si="29"/>
        <v>14.544</v>
      </c>
    </row>
    <row r="39" spans="2:23" x14ac:dyDescent="0.3">
      <c r="C39" s="22" t="s">
        <v>124</v>
      </c>
      <c r="D39" s="130" t="s">
        <v>125</v>
      </c>
      <c r="E39" s="23">
        <v>196</v>
      </c>
      <c r="F39" s="102" t="s">
        <v>117</v>
      </c>
      <c r="G39" s="74">
        <f t="shared" si="20"/>
        <v>0.75</v>
      </c>
      <c r="H39" s="145">
        <f t="shared" si="21"/>
        <v>147</v>
      </c>
      <c r="I39" s="152">
        <f t="shared" si="22"/>
        <v>2.9</v>
      </c>
      <c r="J39" s="152">
        <f t="shared" si="23"/>
        <v>426.3</v>
      </c>
      <c r="K39" s="33"/>
      <c r="L39" s="34"/>
      <c r="P39" s="155">
        <f t="shared" si="24"/>
        <v>6</v>
      </c>
      <c r="Q39" s="156">
        <f t="shared" si="25"/>
        <v>882</v>
      </c>
      <c r="R39" s="157" t="s">
        <v>118</v>
      </c>
      <c r="S39" s="156" t="str">
        <f t="shared" si="26"/>
        <v>BF/Hr</v>
      </c>
      <c r="T39" s="158">
        <f t="shared" si="27"/>
        <v>100</v>
      </c>
      <c r="U39" s="158">
        <f t="shared" si="28"/>
        <v>115</v>
      </c>
      <c r="V39" s="159">
        <v>115</v>
      </c>
      <c r="W39" s="176">
        <f t="shared" si="29"/>
        <v>7.6695652173913045</v>
      </c>
    </row>
    <row r="40" spans="2:23" x14ac:dyDescent="0.3">
      <c r="C40" s="23"/>
      <c r="D40" s="130"/>
      <c r="E40" s="23"/>
      <c r="F40" s="102"/>
      <c r="G40" s="74" t="str">
        <f t="shared" si="20"/>
        <v/>
      </c>
      <c r="H40" s="145" t="str">
        <f t="shared" si="21"/>
        <v/>
      </c>
      <c r="I40" s="152" t="str">
        <f t="shared" si="22"/>
        <v/>
      </c>
      <c r="J40" s="152" t="str">
        <f t="shared" si="23"/>
        <v/>
      </c>
      <c r="K40" s="33"/>
      <c r="L40" s="34"/>
      <c r="P40" s="155" t="str">
        <f t="shared" si="24"/>
        <v/>
      </c>
      <c r="Q40" s="156" t="str">
        <f t="shared" si="25"/>
        <v/>
      </c>
      <c r="R40" s="157"/>
      <c r="S40" s="156" t="str">
        <f t="shared" si="26"/>
        <v/>
      </c>
      <c r="T40" s="158" t="str">
        <f t="shared" si="27"/>
        <v/>
      </c>
      <c r="U40" s="158" t="str">
        <f t="shared" si="28"/>
        <v/>
      </c>
      <c r="V40" s="159" t="str">
        <f t="shared" ref="V40:V41" si="30">IF(U40="","",Q40*U40)</f>
        <v/>
      </c>
      <c r="W40" s="176" t="str">
        <f t="shared" si="29"/>
        <v/>
      </c>
    </row>
    <row r="41" spans="2:23" x14ac:dyDescent="0.3">
      <c r="C41" s="23"/>
      <c r="D41" s="130"/>
      <c r="E41" s="23"/>
      <c r="F41" s="102"/>
      <c r="G41" s="74" t="str">
        <f t="shared" si="20"/>
        <v/>
      </c>
      <c r="H41" s="145" t="str">
        <f t="shared" si="21"/>
        <v/>
      </c>
      <c r="I41" s="152" t="str">
        <f t="shared" si="22"/>
        <v/>
      </c>
      <c r="J41" s="152" t="str">
        <f t="shared" si="23"/>
        <v/>
      </c>
      <c r="K41" s="33"/>
      <c r="L41" s="34"/>
      <c r="P41" s="155" t="str">
        <f t="shared" si="24"/>
        <v/>
      </c>
      <c r="Q41" s="156" t="str">
        <f t="shared" si="25"/>
        <v/>
      </c>
      <c r="R41" s="157"/>
      <c r="S41" s="156" t="str">
        <f t="shared" si="26"/>
        <v/>
      </c>
      <c r="T41" s="158" t="str">
        <f t="shared" si="27"/>
        <v/>
      </c>
      <c r="U41" s="158" t="str">
        <f t="shared" si="28"/>
        <v/>
      </c>
      <c r="V41" s="159" t="str">
        <f t="shared" si="30"/>
        <v/>
      </c>
      <c r="W41" s="176" t="str">
        <f t="shared" si="29"/>
        <v/>
      </c>
    </row>
    <row r="42" spans="2:23" x14ac:dyDescent="0.3">
      <c r="E42" s="18">
        <f>SUM(E34:E41)</f>
        <v>893</v>
      </c>
      <c r="H42" s="18">
        <f>SUM(H34:H41)</f>
        <v>790</v>
      </c>
      <c r="I42" s="18"/>
      <c r="J42" s="14">
        <f>SUM(J34:J41)</f>
        <v>3142.9700000000003</v>
      </c>
      <c r="W42" s="57">
        <f>SUM(W34:W41)</f>
        <v>49.416347826086955</v>
      </c>
    </row>
    <row r="43" spans="2:23" x14ac:dyDescent="0.3">
      <c r="H43" s="18"/>
      <c r="I43" s="18"/>
      <c r="J43" s="14"/>
    </row>
    <row r="44" spans="2:23" x14ac:dyDescent="0.3">
      <c r="B44" s="87" t="s">
        <v>126</v>
      </c>
      <c r="C44" s="35"/>
      <c r="G44" s="144" t="s">
        <v>127</v>
      </c>
      <c r="H44" s="18"/>
      <c r="I44" s="18"/>
      <c r="O44" s="87" t="s">
        <v>126</v>
      </c>
    </row>
    <row r="45" spans="2:23" x14ac:dyDescent="0.3">
      <c r="C45" s="20" t="s">
        <v>67</v>
      </c>
      <c r="D45" s="21" t="s">
        <v>128</v>
      </c>
      <c r="E45" s="21" t="s">
        <v>129</v>
      </c>
      <c r="F45" s="21" t="s">
        <v>130</v>
      </c>
      <c r="G45" s="21" t="s">
        <v>131</v>
      </c>
      <c r="H45" s="21" t="s">
        <v>132</v>
      </c>
      <c r="I45" s="21" t="s">
        <v>74</v>
      </c>
      <c r="P45" s="21" t="s">
        <v>133</v>
      </c>
      <c r="Q45" s="21" t="s">
        <v>134</v>
      </c>
      <c r="R45" s="20" t="s">
        <v>77</v>
      </c>
      <c r="S45" s="21" t="s">
        <v>78</v>
      </c>
      <c r="T45" s="21" t="s">
        <v>79</v>
      </c>
      <c r="U45" s="21" t="s">
        <v>80</v>
      </c>
      <c r="V45" s="21" t="s">
        <v>81</v>
      </c>
      <c r="W45" s="21" t="s">
        <v>82</v>
      </c>
    </row>
    <row r="46" spans="2:23" x14ac:dyDescent="0.3">
      <c r="C46" s="22" t="s">
        <v>135</v>
      </c>
      <c r="D46" s="130" t="s">
        <v>136</v>
      </c>
      <c r="E46" s="23">
        <v>25</v>
      </c>
      <c r="F46" s="23">
        <v>8</v>
      </c>
      <c r="G46" s="145">
        <f t="shared" ref="G46:G51" si="31">IF(C46="","",E46*F46)</f>
        <v>200</v>
      </c>
      <c r="H46" s="152">
        <f t="shared" ref="H46:H51" si="32">IF(C46="","",VLOOKUP(D46,$P$166:$R$177,3,0))</f>
        <v>4.16</v>
      </c>
      <c r="I46" s="152">
        <f>IF(H46="","",H46*G46)</f>
        <v>832</v>
      </c>
      <c r="J46" s="143"/>
      <c r="P46" s="155">
        <f t="shared" ref="P46:P51" si="33">IF(C46="","",VLOOKUP(D46,$P$166:$S$177,4,0))</f>
        <v>1</v>
      </c>
      <c r="Q46" s="158">
        <f t="shared" ref="Q46:Q51" si="34">IF(C46="","",G46*P46)</f>
        <v>200</v>
      </c>
      <c r="R46" s="157" t="s">
        <v>137</v>
      </c>
      <c r="S46" s="156" t="str">
        <f t="shared" ref="S46:S51" si="35">IF(C46="","",VLOOKUP(R46,$AD$145:$AG$149,4,0))</f>
        <v>LF/Hr</v>
      </c>
      <c r="T46" s="158">
        <f t="shared" ref="T46:T51" si="36">IF(C46="","",VLOOKUP(R46,$AD$145:$AG$149,2,0))</f>
        <v>250</v>
      </c>
      <c r="U46" s="158">
        <f t="shared" ref="U46:U51" si="37">IF(C46="","",VLOOKUP(R46,$AD$145:$AG$149,3,0))</f>
        <v>270</v>
      </c>
      <c r="V46" s="159">
        <v>270</v>
      </c>
      <c r="W46" s="176">
        <f t="shared" ref="W46:W51" si="38">IF(C46="","",Q46/V46)</f>
        <v>0.7407407407407407</v>
      </c>
    </row>
    <row r="47" spans="2:23" x14ac:dyDescent="0.3">
      <c r="C47" s="22" t="s">
        <v>138</v>
      </c>
      <c r="D47" s="130" t="s">
        <v>136</v>
      </c>
      <c r="E47" s="23">
        <v>16</v>
      </c>
      <c r="F47" s="23">
        <v>4</v>
      </c>
      <c r="G47" s="145">
        <f t="shared" si="31"/>
        <v>64</v>
      </c>
      <c r="H47" s="152">
        <f t="shared" si="32"/>
        <v>4.16</v>
      </c>
      <c r="I47" s="152">
        <f t="shared" ref="I47:I51" si="39">IF(H47="","",H47*G47)</f>
        <v>266.24</v>
      </c>
      <c r="J47" s="143"/>
      <c r="P47" s="155">
        <f t="shared" si="33"/>
        <v>1</v>
      </c>
      <c r="Q47" s="158">
        <f t="shared" si="34"/>
        <v>64</v>
      </c>
      <c r="R47" s="157" t="s">
        <v>137</v>
      </c>
      <c r="S47" s="156" t="str">
        <f t="shared" si="35"/>
        <v>LF/Hr</v>
      </c>
      <c r="T47" s="158">
        <f t="shared" si="36"/>
        <v>250</v>
      </c>
      <c r="U47" s="158">
        <f t="shared" si="37"/>
        <v>270</v>
      </c>
      <c r="V47" s="159">
        <v>270</v>
      </c>
      <c r="W47" s="176">
        <f t="shared" si="38"/>
        <v>0.23703703703703705</v>
      </c>
    </row>
    <row r="48" spans="2:23" x14ac:dyDescent="0.3">
      <c r="C48" s="22" t="s">
        <v>139</v>
      </c>
      <c r="D48" s="130" t="s">
        <v>136</v>
      </c>
      <c r="E48" s="23">
        <v>23</v>
      </c>
      <c r="F48" s="23">
        <v>3</v>
      </c>
      <c r="G48" s="145">
        <f t="shared" si="31"/>
        <v>69</v>
      </c>
      <c r="H48" s="152">
        <f t="shared" si="32"/>
        <v>4.16</v>
      </c>
      <c r="I48" s="152">
        <f t="shared" si="39"/>
        <v>287.04000000000002</v>
      </c>
      <c r="J48" s="143"/>
      <c r="P48" s="155">
        <f t="shared" si="33"/>
        <v>1</v>
      </c>
      <c r="Q48" s="158">
        <f t="shared" si="34"/>
        <v>69</v>
      </c>
      <c r="R48" s="157" t="s">
        <v>137</v>
      </c>
      <c r="S48" s="156" t="str">
        <f t="shared" si="35"/>
        <v>LF/Hr</v>
      </c>
      <c r="T48" s="158">
        <f t="shared" si="36"/>
        <v>250</v>
      </c>
      <c r="U48" s="158">
        <f t="shared" si="37"/>
        <v>270</v>
      </c>
      <c r="V48" s="159">
        <v>270</v>
      </c>
      <c r="W48" s="176">
        <f t="shared" si="38"/>
        <v>0.25555555555555554</v>
      </c>
    </row>
    <row r="49" spans="2:23" x14ac:dyDescent="0.3">
      <c r="C49" s="22" t="s">
        <v>140</v>
      </c>
      <c r="D49" s="130" t="s">
        <v>141</v>
      </c>
      <c r="E49" s="23">
        <v>28</v>
      </c>
      <c r="F49" s="23">
        <v>7</v>
      </c>
      <c r="G49" s="145">
        <f t="shared" si="31"/>
        <v>196</v>
      </c>
      <c r="H49" s="152">
        <f t="shared" si="32"/>
        <v>4.6500000000000004</v>
      </c>
      <c r="I49" s="152">
        <f t="shared" si="39"/>
        <v>911.40000000000009</v>
      </c>
      <c r="J49" s="143"/>
      <c r="P49" s="155">
        <f t="shared" si="33"/>
        <v>1</v>
      </c>
      <c r="Q49" s="158">
        <f t="shared" si="34"/>
        <v>196</v>
      </c>
      <c r="R49" s="157" t="s">
        <v>137</v>
      </c>
      <c r="S49" s="156" t="str">
        <f t="shared" si="35"/>
        <v>LF/Hr</v>
      </c>
      <c r="T49" s="158">
        <f t="shared" si="36"/>
        <v>250</v>
      </c>
      <c r="U49" s="158">
        <f t="shared" si="37"/>
        <v>270</v>
      </c>
      <c r="V49" s="159">
        <v>270</v>
      </c>
      <c r="W49" s="176">
        <f t="shared" si="38"/>
        <v>0.72592592592592597</v>
      </c>
    </row>
    <row r="50" spans="2:23" x14ac:dyDescent="0.3">
      <c r="C50" s="22"/>
      <c r="D50" s="130"/>
      <c r="E50" s="23"/>
      <c r="F50" s="23"/>
      <c r="G50" s="145" t="str">
        <f t="shared" si="31"/>
        <v/>
      </c>
      <c r="H50" s="152" t="str">
        <f t="shared" si="32"/>
        <v/>
      </c>
      <c r="I50" s="152" t="str">
        <f t="shared" si="39"/>
        <v/>
      </c>
      <c r="J50" s="143"/>
      <c r="P50" s="155" t="str">
        <f t="shared" si="33"/>
        <v/>
      </c>
      <c r="Q50" s="158" t="str">
        <f t="shared" si="34"/>
        <v/>
      </c>
      <c r="R50" s="157"/>
      <c r="S50" s="156" t="str">
        <f t="shared" si="35"/>
        <v/>
      </c>
      <c r="T50" s="158" t="str">
        <f t="shared" si="36"/>
        <v/>
      </c>
      <c r="U50" s="158" t="str">
        <f t="shared" si="37"/>
        <v/>
      </c>
      <c r="V50" s="159"/>
      <c r="W50" s="176" t="str">
        <f t="shared" si="38"/>
        <v/>
      </c>
    </row>
    <row r="51" spans="2:23" x14ac:dyDescent="0.3">
      <c r="C51" s="22"/>
      <c r="D51" s="130"/>
      <c r="E51" s="23"/>
      <c r="F51" s="23"/>
      <c r="G51" s="145" t="str">
        <f t="shared" si="31"/>
        <v/>
      </c>
      <c r="H51" s="152" t="str">
        <f t="shared" si="32"/>
        <v/>
      </c>
      <c r="I51" s="152" t="str">
        <f t="shared" si="39"/>
        <v/>
      </c>
      <c r="J51" s="143"/>
      <c r="P51" s="155" t="str">
        <f t="shared" si="33"/>
        <v/>
      </c>
      <c r="Q51" s="158" t="str">
        <f t="shared" si="34"/>
        <v/>
      </c>
      <c r="R51" s="157"/>
      <c r="S51" s="156" t="str">
        <f t="shared" si="35"/>
        <v/>
      </c>
      <c r="T51" s="158" t="str">
        <f t="shared" si="36"/>
        <v/>
      </c>
      <c r="U51" s="158" t="str">
        <f t="shared" si="37"/>
        <v/>
      </c>
      <c r="V51" s="159"/>
      <c r="W51" s="176" t="str">
        <f t="shared" si="38"/>
        <v/>
      </c>
    </row>
    <row r="52" spans="2:23" x14ac:dyDescent="0.3">
      <c r="C52" s="18"/>
      <c r="E52" s="149">
        <f>SUM(E46:E51)</f>
        <v>92</v>
      </c>
      <c r="F52" s="30"/>
      <c r="G52" s="149">
        <f>SUM(G46:G51)</f>
        <v>529</v>
      </c>
      <c r="I52" s="14">
        <f>SUM(I46:I51)</f>
        <v>2296.6800000000003</v>
      </c>
      <c r="W52" s="57">
        <f>SUM(W46:W51)</f>
        <v>1.9592592592592593</v>
      </c>
    </row>
    <row r="53" spans="2:23" x14ac:dyDescent="0.3">
      <c r="C53" s="18"/>
      <c r="E53" s="149"/>
      <c r="F53" s="30"/>
      <c r="G53" s="149"/>
      <c r="I53" s="14"/>
    </row>
    <row r="54" spans="2:23" x14ac:dyDescent="0.3">
      <c r="B54" s="19" t="s">
        <v>142</v>
      </c>
      <c r="D54"/>
      <c r="E54"/>
      <c r="F54"/>
      <c r="G54"/>
      <c r="H54" s="143" t="s">
        <v>143</v>
      </c>
      <c r="M54"/>
      <c r="N54"/>
      <c r="O54" s="19" t="s">
        <v>142</v>
      </c>
    </row>
    <row r="55" spans="2:23" x14ac:dyDescent="0.3">
      <c r="B55" s="17"/>
      <c r="C55" s="20" t="s">
        <v>67</v>
      </c>
      <c r="D55" s="20" t="s">
        <v>68</v>
      </c>
      <c r="E55" s="21" t="s">
        <v>144</v>
      </c>
      <c r="F55" s="21" t="s">
        <v>145</v>
      </c>
      <c r="G55" s="21" t="s">
        <v>70</v>
      </c>
      <c r="H55" s="21" t="s">
        <v>146</v>
      </c>
      <c r="I55" s="21" t="s">
        <v>147</v>
      </c>
      <c r="J55" s="21" t="s">
        <v>74</v>
      </c>
      <c r="K55" s="18"/>
      <c r="M55"/>
      <c r="N55"/>
      <c r="P55" s="21" t="s">
        <v>148</v>
      </c>
      <c r="Q55" s="21" t="s">
        <v>149</v>
      </c>
      <c r="R55" s="20" t="s">
        <v>77</v>
      </c>
      <c r="S55" s="21" t="s">
        <v>78</v>
      </c>
      <c r="T55" s="21" t="s">
        <v>79</v>
      </c>
      <c r="U55" s="21" t="s">
        <v>80</v>
      </c>
      <c r="V55" s="21" t="s">
        <v>81</v>
      </c>
      <c r="W55" s="21" t="s">
        <v>82</v>
      </c>
    </row>
    <row r="56" spans="2:23" x14ac:dyDescent="0.3">
      <c r="B56" s="17"/>
      <c r="C56" s="22" t="s">
        <v>150</v>
      </c>
      <c r="D56" s="130" t="s">
        <v>151</v>
      </c>
      <c r="E56" s="23">
        <v>782</v>
      </c>
      <c r="F56" s="74">
        <f t="shared" ref="F56:F61" si="40">IF(C56="","",VLOOKUP(D56,$P$134:$S$140,4,0))</f>
        <v>40</v>
      </c>
      <c r="G56" s="102">
        <v>1.05</v>
      </c>
      <c r="H56" s="147">
        <f t="shared" ref="H56:H61" si="41">IF(C56="","",ROUNDUP(E56/F56*G56,0))</f>
        <v>21</v>
      </c>
      <c r="I56" s="152">
        <f t="shared" ref="I56:I61" si="42">IF(C56="","",VLOOKUP(D56,$P$134:$S$140,3,0))</f>
        <v>6.08</v>
      </c>
      <c r="J56" s="152">
        <f t="shared" ref="J56:J61" si="43">IF(C56="","",H56*I56)</f>
        <v>127.68</v>
      </c>
      <c r="K56" s="26"/>
      <c r="M56"/>
      <c r="N56"/>
      <c r="P56" s="177">
        <f t="shared" ref="P56:P61" si="44">IF(C56="","",VLOOKUP(D56,$P$134:$S$140,4,0))</f>
        <v>40</v>
      </c>
      <c r="Q56" s="158">
        <f t="shared" ref="Q56:Q61" si="45">IF(C56="","",H56*P56)</f>
        <v>840</v>
      </c>
      <c r="R56" s="157" t="s">
        <v>152</v>
      </c>
      <c r="S56" s="156" t="str">
        <f t="shared" ref="S56:S61" si="46">IF(C56="","",VLOOKUP(R56,$AD$159:$AG$160,4,0))</f>
        <v>SF/Hr</v>
      </c>
      <c r="T56" s="158">
        <f t="shared" ref="T56:T61" si="47">IF(C56="","",VLOOKUP(R56,$AD$159:$AG$160,2,0))</f>
        <v>130</v>
      </c>
      <c r="U56" s="158">
        <f t="shared" ref="U56:U61" si="48">IF(C56="","",VLOOKUP(R56,$AD$159:$AG$160,3,0))</f>
        <v>150</v>
      </c>
      <c r="V56" s="159">
        <v>150</v>
      </c>
      <c r="W56" s="176">
        <f t="shared" ref="W56:W61" si="49">IF(C56="","",Q56/V56)</f>
        <v>5.6</v>
      </c>
    </row>
    <row r="57" spans="2:23" x14ac:dyDescent="0.3">
      <c r="B57" s="17"/>
      <c r="C57" s="22" t="s">
        <v>153</v>
      </c>
      <c r="D57" s="130" t="s">
        <v>151</v>
      </c>
      <c r="E57" s="23">
        <v>645</v>
      </c>
      <c r="F57" s="74">
        <f t="shared" si="40"/>
        <v>40</v>
      </c>
      <c r="G57" s="102">
        <v>1.05</v>
      </c>
      <c r="H57" s="147">
        <f t="shared" si="41"/>
        <v>17</v>
      </c>
      <c r="I57" s="152">
        <f t="shared" si="42"/>
        <v>6.08</v>
      </c>
      <c r="J57" s="152">
        <f t="shared" si="43"/>
        <v>103.36</v>
      </c>
      <c r="K57" s="26"/>
      <c r="M57"/>
      <c r="N57"/>
      <c r="P57" s="177">
        <f t="shared" si="44"/>
        <v>40</v>
      </c>
      <c r="Q57" s="158">
        <f t="shared" si="45"/>
        <v>680</v>
      </c>
      <c r="R57" s="157" t="s">
        <v>152</v>
      </c>
      <c r="S57" s="156" t="str">
        <f t="shared" si="46"/>
        <v>SF/Hr</v>
      </c>
      <c r="T57" s="158">
        <f t="shared" si="47"/>
        <v>130</v>
      </c>
      <c r="U57" s="158">
        <f t="shared" si="48"/>
        <v>150</v>
      </c>
      <c r="V57" s="159">
        <v>150</v>
      </c>
      <c r="W57" s="176">
        <f t="shared" si="49"/>
        <v>4.5333333333333332</v>
      </c>
    </row>
    <row r="58" spans="2:23" x14ac:dyDescent="0.3">
      <c r="B58" s="17"/>
      <c r="C58" s="22" t="s">
        <v>154</v>
      </c>
      <c r="D58" s="130" t="s">
        <v>151</v>
      </c>
      <c r="E58" s="23">
        <v>645</v>
      </c>
      <c r="F58" s="74">
        <f t="shared" si="40"/>
        <v>40</v>
      </c>
      <c r="G58" s="102">
        <v>1.05</v>
      </c>
      <c r="H58" s="147">
        <f t="shared" si="41"/>
        <v>17</v>
      </c>
      <c r="I58" s="152">
        <f t="shared" si="42"/>
        <v>6.08</v>
      </c>
      <c r="J58" s="152">
        <f t="shared" si="43"/>
        <v>103.36</v>
      </c>
      <c r="K58" s="26"/>
      <c r="M58"/>
      <c r="N58"/>
      <c r="P58" s="177">
        <f t="shared" si="44"/>
        <v>40</v>
      </c>
      <c r="Q58" s="158">
        <f t="shared" si="45"/>
        <v>680</v>
      </c>
      <c r="R58" s="157" t="s">
        <v>152</v>
      </c>
      <c r="S58" s="156" t="str">
        <f t="shared" si="46"/>
        <v>SF/Hr</v>
      </c>
      <c r="T58" s="158">
        <f t="shared" si="47"/>
        <v>130</v>
      </c>
      <c r="U58" s="158">
        <f t="shared" si="48"/>
        <v>150</v>
      </c>
      <c r="V58" s="159">
        <v>150</v>
      </c>
      <c r="W58" s="176">
        <f t="shared" si="49"/>
        <v>4.5333333333333332</v>
      </c>
    </row>
    <row r="59" spans="2:23" x14ac:dyDescent="0.3">
      <c r="B59" s="17"/>
      <c r="C59" s="22" t="s">
        <v>155</v>
      </c>
      <c r="D59" s="130" t="s">
        <v>151</v>
      </c>
      <c r="E59" s="23">
        <v>690</v>
      </c>
      <c r="F59" s="74">
        <f t="shared" si="40"/>
        <v>40</v>
      </c>
      <c r="G59" s="102">
        <v>1.05</v>
      </c>
      <c r="H59" s="147">
        <f t="shared" si="41"/>
        <v>19</v>
      </c>
      <c r="I59" s="152">
        <f t="shared" si="42"/>
        <v>6.08</v>
      </c>
      <c r="J59" s="152">
        <f t="shared" si="43"/>
        <v>115.52</v>
      </c>
      <c r="K59" s="26"/>
      <c r="M59"/>
      <c r="N59"/>
      <c r="P59" s="177">
        <f t="shared" si="44"/>
        <v>40</v>
      </c>
      <c r="Q59" s="158">
        <f t="shared" si="45"/>
        <v>760</v>
      </c>
      <c r="R59" s="157" t="s">
        <v>152</v>
      </c>
      <c r="S59" s="156" t="str">
        <f t="shared" si="46"/>
        <v>SF/Hr</v>
      </c>
      <c r="T59" s="158">
        <f t="shared" si="47"/>
        <v>130</v>
      </c>
      <c r="U59" s="158">
        <f t="shared" si="48"/>
        <v>150</v>
      </c>
      <c r="V59" s="159">
        <v>150</v>
      </c>
      <c r="W59" s="176">
        <f t="shared" si="49"/>
        <v>5.0666666666666664</v>
      </c>
    </row>
    <row r="60" spans="2:23" x14ac:dyDescent="0.3">
      <c r="B60" s="17"/>
      <c r="C60" s="22" t="s">
        <v>156</v>
      </c>
      <c r="D60" s="130" t="s">
        <v>157</v>
      </c>
      <c r="E60" s="23">
        <v>1966</v>
      </c>
      <c r="F60" s="74">
        <f t="shared" si="40"/>
        <v>32</v>
      </c>
      <c r="G60" s="102">
        <v>1.1000000000000001</v>
      </c>
      <c r="H60" s="147">
        <f t="shared" si="41"/>
        <v>68</v>
      </c>
      <c r="I60" s="152">
        <f t="shared" si="42"/>
        <v>9.9819999999999993</v>
      </c>
      <c r="J60" s="152">
        <f t="shared" si="43"/>
        <v>678.77599999999995</v>
      </c>
      <c r="K60" s="26"/>
      <c r="M60"/>
      <c r="N60"/>
      <c r="P60" s="177">
        <f t="shared" si="44"/>
        <v>32</v>
      </c>
      <c r="Q60" s="158">
        <f t="shared" si="45"/>
        <v>2176</v>
      </c>
      <c r="R60" s="157" t="s">
        <v>158</v>
      </c>
      <c r="S60" s="156" t="str">
        <f t="shared" si="46"/>
        <v>SF/Hr</v>
      </c>
      <c r="T60" s="158">
        <f t="shared" si="47"/>
        <v>150</v>
      </c>
      <c r="U60" s="158">
        <f t="shared" si="48"/>
        <v>160</v>
      </c>
      <c r="V60" s="159">
        <v>160</v>
      </c>
      <c r="W60" s="176">
        <f t="shared" si="49"/>
        <v>13.6</v>
      </c>
    </row>
    <row r="61" spans="2:23" x14ac:dyDescent="0.3">
      <c r="B61" s="17"/>
      <c r="C61" s="22"/>
      <c r="D61" s="130"/>
      <c r="E61" s="23"/>
      <c r="F61" s="74" t="str">
        <f t="shared" si="40"/>
        <v/>
      </c>
      <c r="G61" s="102"/>
      <c r="H61" s="147" t="str">
        <f t="shared" si="41"/>
        <v/>
      </c>
      <c r="I61" s="152" t="str">
        <f t="shared" si="42"/>
        <v/>
      </c>
      <c r="J61" s="152" t="str">
        <f t="shared" si="43"/>
        <v/>
      </c>
      <c r="K61" s="26"/>
      <c r="M61"/>
      <c r="N61"/>
      <c r="P61" s="177" t="str">
        <f t="shared" si="44"/>
        <v/>
      </c>
      <c r="Q61" s="158" t="str">
        <f t="shared" si="45"/>
        <v/>
      </c>
      <c r="R61" s="157"/>
      <c r="S61" s="156" t="str">
        <f t="shared" si="46"/>
        <v/>
      </c>
      <c r="T61" s="158" t="str">
        <f t="shared" si="47"/>
        <v/>
      </c>
      <c r="U61" s="158" t="str">
        <f t="shared" si="48"/>
        <v/>
      </c>
      <c r="V61" s="159"/>
      <c r="W61" s="176" t="str">
        <f t="shared" si="49"/>
        <v/>
      </c>
    </row>
    <row r="62" spans="2:23" x14ac:dyDescent="0.3">
      <c r="B62" s="17"/>
      <c r="C62" s="2"/>
      <c r="D62"/>
      <c r="E62" s="29">
        <f>SUM(E56:E61)</f>
        <v>4728</v>
      </c>
      <c r="F62" s="30"/>
      <c r="H62" s="149">
        <f>SUM(H56:H61)</f>
        <v>142</v>
      </c>
      <c r="I62" s="153"/>
      <c r="J62" s="154">
        <f>SUM(J56:J61)</f>
        <v>1128.6959999999999</v>
      </c>
      <c r="K62" s="18"/>
      <c r="M62"/>
      <c r="N62"/>
      <c r="W62" s="57">
        <f>SUM(W56:W61)</f>
        <v>33.333333333333336</v>
      </c>
    </row>
    <row r="63" spans="2:23" x14ac:dyDescent="0.3">
      <c r="B63" s="17"/>
      <c r="C63" s="2"/>
      <c r="D63"/>
      <c r="E63" s="29"/>
      <c r="F63" s="30"/>
      <c r="H63" s="149"/>
      <c r="I63" s="160"/>
      <c r="J63" s="154"/>
      <c r="K63" s="18"/>
      <c r="M63"/>
      <c r="N63"/>
    </row>
    <row r="64" spans="2:23" x14ac:dyDescent="0.3">
      <c r="B64" s="19" t="s">
        <v>159</v>
      </c>
      <c r="C64" s="2"/>
      <c r="H64" s="193" t="s">
        <v>160</v>
      </c>
      <c r="I64" s="18"/>
      <c r="J64" s="18"/>
      <c r="K64" s="193" t="s">
        <v>161</v>
      </c>
      <c r="M64"/>
      <c r="N64"/>
      <c r="O64" s="19" t="s">
        <v>159</v>
      </c>
    </row>
    <row r="65" spans="2:23" x14ac:dyDescent="0.3">
      <c r="B65" s="17"/>
      <c r="C65" s="20" t="s">
        <v>67</v>
      </c>
      <c r="D65" s="20" t="s">
        <v>68</v>
      </c>
      <c r="E65" s="21" t="s">
        <v>162</v>
      </c>
      <c r="F65" s="21" t="s">
        <v>145</v>
      </c>
      <c r="G65" s="21" t="s">
        <v>70</v>
      </c>
      <c r="H65" s="21" t="s">
        <v>163</v>
      </c>
      <c r="I65" s="21" t="s">
        <v>164</v>
      </c>
      <c r="J65" s="21" t="s">
        <v>165</v>
      </c>
      <c r="K65" s="21" t="s">
        <v>146</v>
      </c>
      <c r="L65" s="21" t="s">
        <v>147</v>
      </c>
      <c r="M65" s="21" t="s">
        <v>74</v>
      </c>
      <c r="N65" s="21"/>
      <c r="P65" s="21" t="s">
        <v>148</v>
      </c>
      <c r="Q65" s="21" t="s">
        <v>149</v>
      </c>
      <c r="R65" s="20" t="s">
        <v>77</v>
      </c>
      <c r="S65" s="21" t="s">
        <v>78</v>
      </c>
      <c r="T65" s="21" t="s">
        <v>79</v>
      </c>
      <c r="U65" s="21" t="s">
        <v>80</v>
      </c>
      <c r="V65" s="21" t="s">
        <v>81</v>
      </c>
      <c r="W65" s="21" t="s">
        <v>82</v>
      </c>
    </row>
    <row r="66" spans="2:23" x14ac:dyDescent="0.3">
      <c r="C66" s="22" t="s">
        <v>166</v>
      </c>
      <c r="D66" s="130" t="s">
        <v>167</v>
      </c>
      <c r="E66" s="23">
        <v>4258</v>
      </c>
      <c r="F66" s="74">
        <f t="shared" ref="F66:F71" si="50">IF(C66="","",VLOOKUP(D66,$P$134:$S$140,4,0))</f>
        <v>32</v>
      </c>
      <c r="G66" s="102">
        <v>1.1499999999999999</v>
      </c>
      <c r="H66" s="192">
        <f t="shared" ref="H66:H71" si="51">IF(C66="","",E66/F66*G66)</f>
        <v>153.02187499999999</v>
      </c>
      <c r="I66" s="102">
        <v>8</v>
      </c>
      <c r="J66" s="32">
        <f t="shared" ref="J66:J71" si="52">IF(C66="","",VLOOKUP(I66,$AD$171:$AF$183,3,0))</f>
        <v>1.2018504251546631</v>
      </c>
      <c r="K66" s="145">
        <f t="shared" ref="K66:K71" si="53">IF(C66="","",ROUNDUP(H66*J66,0))</f>
        <v>184</v>
      </c>
      <c r="L66" s="92">
        <f>IF(C66="","",VLOOKUP(D66,$P$134:$S$140,3,0))</f>
        <v>5.7119999999999997</v>
      </c>
      <c r="M66" s="92">
        <f>IF(L66="","",K66*L66)</f>
        <v>1051.008</v>
      </c>
      <c r="N66" s="144"/>
      <c r="P66" s="177">
        <f t="shared" ref="P66:P71" si="54">IF(C66="","",VLOOKUP(D66,$P$134:$S$140,4,0))</f>
        <v>32</v>
      </c>
      <c r="Q66" s="158">
        <f t="shared" ref="Q66:Q71" si="55">IF(C66="","",K66*P66)</f>
        <v>5888</v>
      </c>
      <c r="R66" s="157" t="s">
        <v>159</v>
      </c>
      <c r="S66" s="156" t="str">
        <f>IF(C66="","",VLOOKUP(R66,$AD$161:$AG$161,4,0))</f>
        <v>SF/Hr</v>
      </c>
      <c r="T66" s="158">
        <f t="shared" ref="T66:T71" si="56">IF(C66="","",VLOOKUP(R66,$AD$160:$AG$161,2,0))</f>
        <v>160</v>
      </c>
      <c r="U66" s="158">
        <f t="shared" ref="U66:U71" si="57">IF(C66="","",VLOOKUP(R66,$AD$160:$AG$161,3,0))</f>
        <v>180</v>
      </c>
      <c r="V66" s="159">
        <v>180</v>
      </c>
      <c r="W66" s="176">
        <f t="shared" ref="W66:W71" si="58">IF(C66="","",Q66/V66)</f>
        <v>32.711111111111109</v>
      </c>
    </row>
    <row r="67" spans="2:23" x14ac:dyDescent="0.3">
      <c r="B67" s="131"/>
      <c r="C67" s="22" t="s">
        <v>168</v>
      </c>
      <c r="D67" s="130" t="s">
        <v>167</v>
      </c>
      <c r="E67" s="23">
        <v>364</v>
      </c>
      <c r="F67" s="74">
        <f t="shared" si="50"/>
        <v>32</v>
      </c>
      <c r="G67" s="102">
        <v>1.1499999999999999</v>
      </c>
      <c r="H67" s="192">
        <f t="shared" si="51"/>
        <v>13.081249999999999</v>
      </c>
      <c r="I67" s="102">
        <v>10</v>
      </c>
      <c r="J67" s="32">
        <f t="shared" si="52"/>
        <v>1.3017082793177757</v>
      </c>
      <c r="K67" s="145">
        <f t="shared" si="53"/>
        <v>18</v>
      </c>
      <c r="L67" s="92">
        <f>IF(D67="","",VLOOKUP(D67,$P$134:$S$140,3,0))</f>
        <v>5.7119999999999997</v>
      </c>
      <c r="M67" s="92">
        <f t="shared" ref="M67:M71" si="59">IF(L67="","",K67*L67)</f>
        <v>102.816</v>
      </c>
      <c r="N67" s="144"/>
      <c r="P67" s="177">
        <f t="shared" si="54"/>
        <v>32</v>
      </c>
      <c r="Q67" s="158">
        <f t="shared" si="55"/>
        <v>576</v>
      </c>
      <c r="R67" s="157" t="s">
        <v>159</v>
      </c>
      <c r="S67" s="156" t="str">
        <f>IF(C67="","",VLOOKUP(R67,$AD$161:$AG$161,4,0))</f>
        <v>SF/Hr</v>
      </c>
      <c r="T67" s="158">
        <f t="shared" si="56"/>
        <v>160</v>
      </c>
      <c r="U67" s="158">
        <f t="shared" si="57"/>
        <v>180</v>
      </c>
      <c r="V67" s="159">
        <v>180</v>
      </c>
      <c r="W67" s="176">
        <f t="shared" si="58"/>
        <v>3.2</v>
      </c>
    </row>
    <row r="68" spans="2:23" x14ac:dyDescent="0.3">
      <c r="B68" s="131"/>
      <c r="C68" s="22" t="s">
        <v>169</v>
      </c>
      <c r="D68" s="130" t="s">
        <v>167</v>
      </c>
      <c r="E68" s="23">
        <v>225</v>
      </c>
      <c r="F68" s="74">
        <f t="shared" si="50"/>
        <v>32</v>
      </c>
      <c r="G68" s="102">
        <v>1.1499999999999999</v>
      </c>
      <c r="H68" s="192">
        <f t="shared" si="51"/>
        <v>8.0859375</v>
      </c>
      <c r="I68" s="102">
        <v>10</v>
      </c>
      <c r="J68" s="32">
        <f t="shared" si="52"/>
        <v>1.3017082793177757</v>
      </c>
      <c r="K68" s="145">
        <f t="shared" si="53"/>
        <v>11</v>
      </c>
      <c r="L68" s="92">
        <f>IF(D68="","",VLOOKUP(D68,$P$134:$S$140,3,0))</f>
        <v>5.7119999999999997</v>
      </c>
      <c r="M68" s="92">
        <f t="shared" si="59"/>
        <v>62.831999999999994</v>
      </c>
      <c r="N68" s="144"/>
      <c r="P68" s="177">
        <f t="shared" si="54"/>
        <v>32</v>
      </c>
      <c r="Q68" s="158">
        <f t="shared" si="55"/>
        <v>352</v>
      </c>
      <c r="R68" s="157" t="s">
        <v>159</v>
      </c>
      <c r="S68" s="156" t="str">
        <f t="shared" ref="S68:S71" si="60">IF(C68="","",VLOOKUP(R68,$AD$161:$AG$161,4,0))</f>
        <v>SF/Hr</v>
      </c>
      <c r="T68" s="158">
        <f t="shared" si="56"/>
        <v>160</v>
      </c>
      <c r="U68" s="158">
        <f t="shared" si="57"/>
        <v>180</v>
      </c>
      <c r="V68" s="159">
        <v>180</v>
      </c>
      <c r="W68" s="176">
        <f t="shared" si="58"/>
        <v>1.9555555555555555</v>
      </c>
    </row>
    <row r="69" spans="2:23" x14ac:dyDescent="0.3">
      <c r="B69" s="131"/>
      <c r="C69" s="22"/>
      <c r="D69" s="130"/>
      <c r="E69" s="23"/>
      <c r="F69" s="74" t="str">
        <f t="shared" si="50"/>
        <v/>
      </c>
      <c r="G69" s="102"/>
      <c r="H69" s="192" t="str">
        <f t="shared" si="51"/>
        <v/>
      </c>
      <c r="I69" s="102"/>
      <c r="J69" s="32" t="str">
        <f t="shared" si="52"/>
        <v/>
      </c>
      <c r="K69" s="145" t="str">
        <f t="shared" si="53"/>
        <v/>
      </c>
      <c r="L69" s="92" t="str">
        <f>IF(D69="","",VLOOKUP(D69,$P$134:$S$140,3,0))</f>
        <v/>
      </c>
      <c r="M69" s="92" t="str">
        <f t="shared" si="59"/>
        <v/>
      </c>
      <c r="N69" s="144"/>
      <c r="P69" s="177" t="str">
        <f t="shared" si="54"/>
        <v/>
      </c>
      <c r="Q69" s="158" t="str">
        <f t="shared" si="55"/>
        <v/>
      </c>
      <c r="R69" s="157"/>
      <c r="S69" s="156" t="str">
        <f t="shared" si="60"/>
        <v/>
      </c>
      <c r="T69" s="158" t="str">
        <f t="shared" si="56"/>
        <v/>
      </c>
      <c r="U69" s="158" t="str">
        <f t="shared" si="57"/>
        <v/>
      </c>
      <c r="V69" s="159"/>
      <c r="W69" s="176" t="str">
        <f t="shared" si="58"/>
        <v/>
      </c>
    </row>
    <row r="70" spans="2:23" x14ac:dyDescent="0.3">
      <c r="B70" s="131"/>
      <c r="C70" s="22"/>
      <c r="D70" s="130"/>
      <c r="E70" s="23"/>
      <c r="F70" s="74" t="str">
        <f t="shared" si="50"/>
        <v/>
      </c>
      <c r="G70" s="102"/>
      <c r="H70" s="192" t="str">
        <f t="shared" si="51"/>
        <v/>
      </c>
      <c r="I70" s="102"/>
      <c r="J70" s="32" t="str">
        <f t="shared" si="52"/>
        <v/>
      </c>
      <c r="K70" s="145" t="str">
        <f t="shared" si="53"/>
        <v/>
      </c>
      <c r="L70" s="92" t="str">
        <f>IF(D70="","",VLOOKUP(D70,$P$134:$S$140,3,0))</f>
        <v/>
      </c>
      <c r="M70" s="92" t="str">
        <f t="shared" si="59"/>
        <v/>
      </c>
      <c r="N70" s="144"/>
      <c r="P70" s="177" t="str">
        <f t="shared" si="54"/>
        <v/>
      </c>
      <c r="Q70" s="158" t="str">
        <f t="shared" si="55"/>
        <v/>
      </c>
      <c r="R70" s="157"/>
      <c r="S70" s="156" t="str">
        <f t="shared" si="60"/>
        <v/>
      </c>
      <c r="T70" s="158" t="str">
        <f t="shared" si="56"/>
        <v/>
      </c>
      <c r="U70" s="158" t="str">
        <f t="shared" si="57"/>
        <v/>
      </c>
      <c r="V70" s="159"/>
      <c r="W70" s="176" t="str">
        <f t="shared" si="58"/>
        <v/>
      </c>
    </row>
    <row r="71" spans="2:23" x14ac:dyDescent="0.3">
      <c r="B71" s="131"/>
      <c r="C71" s="22"/>
      <c r="D71" s="130"/>
      <c r="E71" s="23"/>
      <c r="F71" s="74" t="str">
        <f t="shared" si="50"/>
        <v/>
      </c>
      <c r="G71" s="102"/>
      <c r="H71" s="192" t="str">
        <f t="shared" si="51"/>
        <v/>
      </c>
      <c r="I71" s="102"/>
      <c r="J71" s="32" t="str">
        <f t="shared" si="52"/>
        <v/>
      </c>
      <c r="K71" s="145" t="str">
        <f t="shared" si="53"/>
        <v/>
      </c>
      <c r="L71" s="92" t="str">
        <f>IF(D71="","",VLOOKUP(D71,$P$134:$S$140,3,0))</f>
        <v/>
      </c>
      <c r="M71" s="92" t="str">
        <f t="shared" si="59"/>
        <v/>
      </c>
      <c r="N71" s="144"/>
      <c r="P71" s="177" t="str">
        <f t="shared" si="54"/>
        <v/>
      </c>
      <c r="Q71" s="158" t="str">
        <f t="shared" si="55"/>
        <v/>
      </c>
      <c r="R71" s="157"/>
      <c r="S71" s="156" t="str">
        <f t="shared" si="60"/>
        <v/>
      </c>
      <c r="T71" s="158" t="str">
        <f t="shared" si="56"/>
        <v/>
      </c>
      <c r="U71" s="158" t="str">
        <f t="shared" si="57"/>
        <v/>
      </c>
      <c r="V71" s="159"/>
      <c r="W71" s="176" t="str">
        <f t="shared" si="58"/>
        <v/>
      </c>
    </row>
    <row r="72" spans="2:23" x14ac:dyDescent="0.3">
      <c r="B72" s="17"/>
      <c r="C72" s="2"/>
      <c r="D72"/>
      <c r="E72" s="149">
        <f>SUM(E66:E71)</f>
        <v>4847</v>
      </c>
      <c r="G72" s="77"/>
      <c r="H72" s="150">
        <f>SUM(H66:H71)</f>
        <v>174.18906250000001</v>
      </c>
      <c r="I72" s="76"/>
      <c r="J72" s="18"/>
      <c r="K72" s="149">
        <f>SUM(K66:K71)</f>
        <v>213</v>
      </c>
      <c r="L72" s="14"/>
      <c r="M72" s="14">
        <f>SUM(M66:M71)</f>
        <v>1216.6559999999999</v>
      </c>
      <c r="N72" s="14"/>
      <c r="W72" s="57">
        <f>SUM(W66:W71)</f>
        <v>37.866666666666667</v>
      </c>
    </row>
    <row r="73" spans="2:23" x14ac:dyDescent="0.3">
      <c r="B73" s="17"/>
      <c r="E73" s="21"/>
      <c r="G73" s="31"/>
      <c r="H73" s="18"/>
      <c r="I73" s="18"/>
      <c r="J73" s="18"/>
      <c r="M73"/>
      <c r="N73"/>
    </row>
    <row r="74" spans="2:23" x14ac:dyDescent="0.3">
      <c r="B74" s="19" t="s">
        <v>170</v>
      </c>
      <c r="C74" s="1"/>
      <c r="H74" s="193" t="s">
        <v>171</v>
      </c>
      <c r="I74" s="18"/>
      <c r="J74" s="18"/>
      <c r="M74"/>
      <c r="N74"/>
      <c r="O74" s="19" t="s">
        <v>170</v>
      </c>
    </row>
    <row r="75" spans="2:23" x14ac:dyDescent="0.3">
      <c r="B75" s="17"/>
      <c r="C75" s="20" t="s">
        <v>67</v>
      </c>
      <c r="D75" s="20" t="s">
        <v>68</v>
      </c>
      <c r="E75" s="21" t="s">
        <v>172</v>
      </c>
      <c r="F75" s="21" t="s">
        <v>173</v>
      </c>
      <c r="G75" s="21" t="s">
        <v>70</v>
      </c>
      <c r="H75" s="21" t="s">
        <v>94</v>
      </c>
      <c r="I75" s="21" t="s">
        <v>73</v>
      </c>
      <c r="J75" s="21" t="s">
        <v>74</v>
      </c>
      <c r="M75"/>
      <c r="N75"/>
      <c r="P75" s="21" t="s">
        <v>174</v>
      </c>
      <c r="Q75" s="21" t="s">
        <v>134</v>
      </c>
      <c r="R75" s="20" t="s">
        <v>77</v>
      </c>
      <c r="S75" s="21" t="s">
        <v>78</v>
      </c>
      <c r="T75" s="21" t="s">
        <v>79</v>
      </c>
      <c r="U75" s="21" t="s">
        <v>80</v>
      </c>
      <c r="V75" s="21" t="s">
        <v>81</v>
      </c>
      <c r="W75" s="21" t="s">
        <v>82</v>
      </c>
    </row>
    <row r="76" spans="2:23" x14ac:dyDescent="0.3">
      <c r="B76" s="17"/>
      <c r="C76" s="22" t="s">
        <v>175</v>
      </c>
      <c r="D76" s="130" t="s">
        <v>176</v>
      </c>
      <c r="E76" s="23">
        <v>315</v>
      </c>
      <c r="F76" s="74">
        <f>IF(C76="","",VLOOKUP(D76,$P$179:$S$182,4,0))</f>
        <v>20</v>
      </c>
      <c r="G76" s="102">
        <v>1.05</v>
      </c>
      <c r="H76" s="147">
        <f>IF(C76="","",ROUNDUP(E76/F76*G76,0))</f>
        <v>17</v>
      </c>
      <c r="I76" s="148">
        <f>IF(C76="","",VLOOKUP(D76,$P$179:$S$182,3,0))</f>
        <v>37.01</v>
      </c>
      <c r="J76" s="148">
        <f>IF(C76="","",H76*I76)</f>
        <v>629.16999999999996</v>
      </c>
      <c r="K76" s="143"/>
      <c r="M76"/>
      <c r="N76"/>
      <c r="P76" s="155">
        <f>IF(C76="","",VLOOKUP(D76,$P$179:$S$182,4,0))</f>
        <v>20</v>
      </c>
      <c r="Q76" s="156">
        <f>IF(P76="","",H76*P76)</f>
        <v>340</v>
      </c>
      <c r="R76" s="157" t="s">
        <v>137</v>
      </c>
      <c r="S76" s="156" t="str">
        <f>IF(C76="","",VLOOKUP(R76,$AD$145:$AG$149,4,0))</f>
        <v>LF/Hr</v>
      </c>
      <c r="T76" s="158">
        <f>IF(C76="","",VLOOKUP(R76,$AD$145:$AG$149,2,0))</f>
        <v>250</v>
      </c>
      <c r="U76" s="158">
        <f>IF(C76="","",VLOOKUP(R76,$AD$145:$AG$149,3,0))</f>
        <v>270</v>
      </c>
      <c r="V76" s="159">
        <v>270</v>
      </c>
      <c r="W76" s="176">
        <f>IF(C76="","",Q76/V76)</f>
        <v>1.2592592592592593</v>
      </c>
    </row>
    <row r="77" spans="2:23" x14ac:dyDescent="0.3">
      <c r="B77" s="17"/>
      <c r="C77" s="22" t="s">
        <v>177</v>
      </c>
      <c r="D77" s="130" t="s">
        <v>176</v>
      </c>
      <c r="E77" s="23">
        <v>422</v>
      </c>
      <c r="F77" s="74">
        <f>IF(C77="","",VLOOKUP(D77,$P$179:$S$182,4,0))</f>
        <v>20</v>
      </c>
      <c r="G77" s="102">
        <v>1.05</v>
      </c>
      <c r="H77" s="147">
        <f>IF(E77="","",ROUNDUP(E77/F77*G77,0))</f>
        <v>23</v>
      </c>
      <c r="I77" s="148">
        <f>IF(C77="","",VLOOKUP(D77,$P$179:$S$182,3,0))</f>
        <v>37.01</v>
      </c>
      <c r="J77" s="148">
        <f>IF(C77="","",H77*I77)</f>
        <v>851.2299999999999</v>
      </c>
      <c r="K77" s="143"/>
      <c r="M77"/>
      <c r="N77"/>
      <c r="P77" s="155">
        <f>IF(C77="","",VLOOKUP(D77,$P$179:$S$182,4,0))</f>
        <v>20</v>
      </c>
      <c r="Q77" s="156">
        <f t="shared" ref="Q77:Q79" si="61">IF(P77="","",H77*P77)</f>
        <v>460</v>
      </c>
      <c r="R77" s="157" t="s">
        <v>137</v>
      </c>
      <c r="S77" s="156" t="str">
        <f>IF(C77="","",VLOOKUP(R77,$AD$145:$AG$149,4,0))</f>
        <v>LF/Hr</v>
      </c>
      <c r="T77" s="158">
        <f>IF(C77="","",VLOOKUP(R77,$AD$145:$AG$149,2,0))</f>
        <v>250</v>
      </c>
      <c r="U77" s="158">
        <f>IF(C77="","",VLOOKUP(R77,$AD$145:$AG$149,3,0))</f>
        <v>270</v>
      </c>
      <c r="V77" s="159">
        <v>270</v>
      </c>
      <c r="W77" s="176">
        <f>IF(C77="","",Q77/V77)</f>
        <v>1.7037037037037037</v>
      </c>
    </row>
    <row r="78" spans="2:23" x14ac:dyDescent="0.3">
      <c r="B78" s="17"/>
      <c r="C78" s="22"/>
      <c r="D78" s="130"/>
      <c r="E78" s="23"/>
      <c r="F78" s="74" t="str">
        <f>IF(C78="","",VLOOKUP(D78,$P$179:$S$182,4,0))</f>
        <v/>
      </c>
      <c r="G78" s="102"/>
      <c r="H78" s="147" t="str">
        <f>IF(E78="","",ROUNDUP(E78/F78*G78,0))</f>
        <v/>
      </c>
      <c r="I78" s="148" t="str">
        <f>IF(C78="","",VLOOKUP(D78,$P$179:$S$182,3,0))</f>
        <v/>
      </c>
      <c r="J78" s="148" t="str">
        <f>IF(C78="","",H78*I78)</f>
        <v/>
      </c>
      <c r="K78" s="143"/>
      <c r="M78"/>
      <c r="N78"/>
      <c r="P78" s="155" t="str">
        <f>IF(C78="","",VLOOKUP(D78,$P$179:$S$182,4,0))</f>
        <v/>
      </c>
      <c r="Q78" s="156" t="str">
        <f t="shared" si="61"/>
        <v/>
      </c>
      <c r="R78" s="157"/>
      <c r="S78" s="156" t="str">
        <f>IF(C78="","",VLOOKUP(R78,$AD$145:$AG$149,4,0))</f>
        <v/>
      </c>
      <c r="T78" s="158" t="str">
        <f>IF(C78="","",VLOOKUP(R78,$AD$145:$AG$149,2,0))</f>
        <v/>
      </c>
      <c r="U78" s="158" t="str">
        <f>IF(C78="","",VLOOKUP(R78,$AD$145:$AG$149,3,0))</f>
        <v/>
      </c>
      <c r="V78" s="159"/>
      <c r="W78" s="176" t="str">
        <f>IF(C78="","",Q78/V78)</f>
        <v/>
      </c>
    </row>
    <row r="79" spans="2:23" x14ac:dyDescent="0.3">
      <c r="B79" s="17"/>
      <c r="C79" s="22"/>
      <c r="D79" s="130"/>
      <c r="E79" s="23"/>
      <c r="F79" s="74" t="str">
        <f>IF(C79="","",VLOOKUP(D79,$P$179:$S$182,4,0))</f>
        <v/>
      </c>
      <c r="G79" s="102"/>
      <c r="H79" s="147" t="str">
        <f>IF(E79="","",ROUNDUP(E79/F79*G79,0))</f>
        <v/>
      </c>
      <c r="I79" s="148" t="str">
        <f>IF(C79="","",VLOOKUP(D79,$P$179:$S$182,3,0))</f>
        <v/>
      </c>
      <c r="J79" s="148" t="str">
        <f>IF(C79="","",H79*I79)</f>
        <v/>
      </c>
      <c r="K79" s="143"/>
      <c r="M79"/>
      <c r="N79"/>
      <c r="P79" s="155" t="str">
        <f>IF(C79="","",VLOOKUP(D79,$P$179:$S$182,4,0))</f>
        <v/>
      </c>
      <c r="Q79" s="156" t="str">
        <f t="shared" si="61"/>
        <v/>
      </c>
      <c r="R79" s="157"/>
      <c r="S79" s="156" t="str">
        <f>IF(C79="","",VLOOKUP(R79,$AD$145:$AG$149,4,0))</f>
        <v/>
      </c>
      <c r="T79" s="158" t="str">
        <f>IF(C79="","",VLOOKUP(R79,$AD$145:$AG$149,2,0))</f>
        <v/>
      </c>
      <c r="U79" s="158" t="str">
        <f>IF(C79="","",VLOOKUP(R79,$AD$145:$AG$149,3,0))</f>
        <v/>
      </c>
      <c r="V79" s="159"/>
      <c r="W79" s="176" t="str">
        <f>IF(C79="","",Q79/V79)</f>
        <v/>
      </c>
    </row>
    <row r="80" spans="2:23" x14ac:dyDescent="0.3">
      <c r="B80" s="17"/>
      <c r="D80"/>
      <c r="E80" s="18">
        <f>SUM(E76:E79)</f>
        <v>737</v>
      </c>
      <c r="F80"/>
      <c r="G80"/>
      <c r="H80" s="18">
        <f>SUM(H76:H79)</f>
        <v>40</v>
      </c>
      <c r="I80" s="18"/>
      <c r="J80" s="142">
        <f>SUM(J76:J79)</f>
        <v>1480.3999999999999</v>
      </c>
      <c r="M80"/>
      <c r="N80"/>
      <c r="W80" s="57">
        <f>SUM(W76:W79)</f>
        <v>2.9629629629629628</v>
      </c>
    </row>
    <row r="81" spans="2:23" x14ac:dyDescent="0.3">
      <c r="B81" s="17"/>
      <c r="D81"/>
      <c r="F81"/>
      <c r="G81"/>
      <c r="H81" s="18"/>
      <c r="I81" s="18"/>
      <c r="J81" s="142"/>
      <c r="M81"/>
      <c r="N81"/>
    </row>
    <row r="82" spans="2:23" x14ac:dyDescent="0.3">
      <c r="B82" s="19" t="s">
        <v>178</v>
      </c>
      <c r="D82"/>
      <c r="E82"/>
      <c r="F82"/>
      <c r="G82"/>
      <c r="H82" s="18"/>
      <c r="I82" s="18"/>
      <c r="J82" s="18"/>
      <c r="M82"/>
      <c r="N82"/>
      <c r="O82" s="19" t="s">
        <v>178</v>
      </c>
    </row>
    <row r="83" spans="2:23" x14ac:dyDescent="0.3">
      <c r="B83" s="17"/>
      <c r="C83" s="20" t="s">
        <v>67</v>
      </c>
      <c r="D83" s="20" t="s">
        <v>68</v>
      </c>
      <c r="E83" s="21" t="s">
        <v>179</v>
      </c>
      <c r="F83" s="21" t="s">
        <v>179</v>
      </c>
      <c r="G83" s="21" t="s">
        <v>179</v>
      </c>
      <c r="H83" s="21" t="s">
        <v>131</v>
      </c>
      <c r="I83" s="18"/>
      <c r="J83" s="18"/>
      <c r="M83"/>
      <c r="N83"/>
      <c r="P83" s="21" t="s">
        <v>75</v>
      </c>
      <c r="Q83" s="21" t="s">
        <v>76</v>
      </c>
      <c r="R83" s="20" t="s">
        <v>77</v>
      </c>
      <c r="S83" s="21" t="s">
        <v>78</v>
      </c>
      <c r="T83" s="21" t="s">
        <v>79</v>
      </c>
      <c r="U83" s="21" t="s">
        <v>80</v>
      </c>
      <c r="V83" s="21" t="s">
        <v>81</v>
      </c>
      <c r="W83" s="21" t="s">
        <v>82</v>
      </c>
    </row>
    <row r="84" spans="2:23" x14ac:dyDescent="0.3">
      <c r="B84" s="17"/>
      <c r="C84" s="22"/>
      <c r="D84" s="102"/>
      <c r="E84" s="23"/>
      <c r="F84" s="23"/>
      <c r="G84" s="23"/>
      <c r="H84" s="25"/>
      <c r="I84" s="18"/>
      <c r="J84" s="18"/>
      <c r="M84"/>
      <c r="N84"/>
      <c r="P84" s="155" t="str">
        <f t="shared" ref="P84:P90" si="62">IF(D85="","",VLOOKUP(D85,$C$111:$F$112,4,0))</f>
        <v/>
      </c>
      <c r="Q84" s="156" t="str">
        <f>IF(P84="","",#REF!*P84)</f>
        <v/>
      </c>
      <c r="R84" s="157"/>
      <c r="S84" s="156"/>
      <c r="T84" s="158"/>
      <c r="U84" s="158"/>
      <c r="V84" s="159"/>
      <c r="W84" s="156"/>
    </row>
    <row r="85" spans="2:23" x14ac:dyDescent="0.3">
      <c r="B85" s="17"/>
      <c r="C85" s="22"/>
      <c r="D85" s="102"/>
      <c r="E85" s="23"/>
      <c r="F85" s="23"/>
      <c r="G85" s="23"/>
      <c r="H85" s="25"/>
      <c r="I85" s="18"/>
      <c r="J85" s="18"/>
      <c r="M85"/>
      <c r="N85"/>
      <c r="P85" s="155" t="str">
        <f t="shared" si="62"/>
        <v/>
      </c>
      <c r="Q85" s="156" t="str">
        <f>IF(P85="","",#REF!*P85)</f>
        <v/>
      </c>
      <c r="R85" s="157"/>
      <c r="S85" s="156"/>
      <c r="T85" s="158"/>
      <c r="U85" s="158"/>
      <c r="V85" s="159"/>
      <c r="W85" s="156"/>
    </row>
    <row r="86" spans="2:23" x14ac:dyDescent="0.3">
      <c r="B86" s="17"/>
      <c r="C86" s="22"/>
      <c r="D86" s="102"/>
      <c r="E86" s="23"/>
      <c r="F86" s="23"/>
      <c r="G86" s="23"/>
      <c r="H86" s="25"/>
      <c r="I86" s="18"/>
      <c r="J86" s="18"/>
      <c r="M86"/>
      <c r="N86"/>
      <c r="P86" s="155" t="str">
        <f t="shared" si="62"/>
        <v/>
      </c>
      <c r="Q86" s="156" t="str">
        <f>IF(P86="","",#REF!*P86)</f>
        <v/>
      </c>
      <c r="R86" s="157"/>
      <c r="S86" s="156"/>
      <c r="T86" s="158"/>
      <c r="U86" s="158"/>
      <c r="V86" s="159"/>
      <c r="W86" s="156"/>
    </row>
    <row r="87" spans="2:23" x14ac:dyDescent="0.3">
      <c r="B87" s="17"/>
      <c r="C87" s="22"/>
      <c r="D87" s="102"/>
      <c r="E87" s="23"/>
      <c r="F87" s="23"/>
      <c r="G87" s="23"/>
      <c r="H87" s="25"/>
      <c r="I87" s="18"/>
      <c r="J87" s="18"/>
      <c r="M87"/>
      <c r="N87"/>
      <c r="P87" s="155" t="str">
        <f t="shared" si="62"/>
        <v/>
      </c>
      <c r="Q87" s="156" t="str">
        <f>IF(P87="","",#REF!*P87)</f>
        <v/>
      </c>
      <c r="R87" s="157"/>
      <c r="S87" s="156"/>
      <c r="T87" s="158"/>
      <c r="U87" s="158"/>
      <c r="V87" s="159"/>
      <c r="W87" s="156"/>
    </row>
    <row r="88" spans="2:23" x14ac:dyDescent="0.3">
      <c r="B88" s="17"/>
      <c r="C88" s="22"/>
      <c r="D88" s="102"/>
      <c r="E88" s="23"/>
      <c r="F88" s="23"/>
      <c r="G88" s="23"/>
      <c r="H88" s="25"/>
      <c r="I88" s="18"/>
      <c r="J88" s="18"/>
      <c r="M88"/>
      <c r="N88"/>
      <c r="P88" s="155" t="str">
        <f t="shared" si="62"/>
        <v/>
      </c>
      <c r="Q88" s="156" t="str">
        <f>IF(P88="","",#REF!*P88)</f>
        <v/>
      </c>
      <c r="R88" s="157"/>
      <c r="S88" s="156"/>
      <c r="T88" s="158"/>
      <c r="U88" s="158"/>
      <c r="V88" s="159"/>
      <c r="W88" s="156"/>
    </row>
    <row r="89" spans="2:23" x14ac:dyDescent="0.3">
      <c r="B89" s="17"/>
      <c r="C89" s="22"/>
      <c r="D89" s="102"/>
      <c r="E89" s="23"/>
      <c r="F89" s="23"/>
      <c r="G89" s="23"/>
      <c r="H89" s="25"/>
      <c r="M89"/>
      <c r="N89"/>
      <c r="P89" s="155" t="str">
        <f t="shared" si="62"/>
        <v/>
      </c>
      <c r="Q89" s="156" t="str">
        <f>IF(P89="","",#REF!*P89)</f>
        <v/>
      </c>
      <c r="R89" s="157"/>
      <c r="S89" s="156"/>
      <c r="T89" s="158"/>
      <c r="U89" s="158"/>
      <c r="V89" s="159"/>
      <c r="W89" s="156"/>
    </row>
    <row r="90" spans="2:23" x14ac:dyDescent="0.3">
      <c r="B90" s="17"/>
      <c r="C90" s="22"/>
      <c r="D90" s="102"/>
      <c r="E90" s="23"/>
      <c r="F90" s="23"/>
      <c r="G90" s="23"/>
      <c r="H90" s="25"/>
      <c r="M90"/>
      <c r="N90"/>
      <c r="P90" s="155" t="str">
        <f t="shared" si="62"/>
        <v/>
      </c>
      <c r="Q90" s="156" t="str">
        <f t="shared" ref="Q90" si="63">IF(P90="","",H91*P90)</f>
        <v/>
      </c>
      <c r="R90" s="157"/>
      <c r="S90" s="156"/>
      <c r="T90" s="158"/>
      <c r="U90" s="158"/>
      <c r="V90" s="159"/>
      <c r="W90" s="156"/>
    </row>
    <row r="91" spans="2:23" s="6" customFormat="1" x14ac:dyDescent="0.3">
      <c r="B91" s="99"/>
      <c r="C91" s="64"/>
      <c r="D91" s="162"/>
      <c r="E91" s="162"/>
      <c r="F91" s="162"/>
      <c r="G91" s="163"/>
    </row>
    <row r="93" spans="2:23" ht="15.6" x14ac:dyDescent="0.3">
      <c r="B93" s="85" t="s">
        <v>180</v>
      </c>
      <c r="O93" s="19" t="s">
        <v>180</v>
      </c>
    </row>
    <row r="94" spans="2:23" x14ac:dyDescent="0.3">
      <c r="C94" s="161" t="s">
        <v>181</v>
      </c>
      <c r="D94" s="21" t="s">
        <v>182</v>
      </c>
      <c r="E94" s="21" t="s">
        <v>183</v>
      </c>
      <c r="F94" s="21" t="s">
        <v>184</v>
      </c>
      <c r="G94" s="21" t="s">
        <v>74</v>
      </c>
      <c r="P94" s="21" t="s">
        <v>185</v>
      </c>
      <c r="Q94" s="21" t="s">
        <v>186</v>
      </c>
      <c r="R94" s="20" t="s">
        <v>77</v>
      </c>
      <c r="S94" s="21" t="s">
        <v>78</v>
      </c>
      <c r="T94" s="21" t="s">
        <v>79</v>
      </c>
      <c r="U94" s="21" t="s">
        <v>80</v>
      </c>
      <c r="V94" s="21" t="s">
        <v>81</v>
      </c>
      <c r="W94" s="21" t="s">
        <v>82</v>
      </c>
    </row>
    <row r="95" spans="2:23" x14ac:dyDescent="0.3">
      <c r="C95" s="13" t="s">
        <v>187</v>
      </c>
      <c r="D95" s="23" t="s">
        <v>188</v>
      </c>
      <c r="E95" s="96">
        <v>1350</v>
      </c>
      <c r="F95" s="23">
        <v>1</v>
      </c>
      <c r="G95" s="97">
        <f>IF(C95="","",E95*F95)</f>
        <v>1350</v>
      </c>
      <c r="P95" s="194"/>
      <c r="Q95" s="159">
        <v>33</v>
      </c>
      <c r="R95" s="157" t="s">
        <v>189</v>
      </c>
      <c r="S95" s="156" t="str">
        <f>IF(C95="","",VLOOKUP(R95,$AD$154:$AG$154,4,0))</f>
        <v>No./Hr</v>
      </c>
      <c r="T95" s="158">
        <f>IF(C95="","",VLOOKUP(R95,$AD$154:$AG$154,2,0))</f>
        <v>2</v>
      </c>
      <c r="U95" s="158">
        <f>IF(C95="","",VLOOKUP(R95,$AD$154:$AG$154,3,0))</f>
        <v>3</v>
      </c>
      <c r="V95" s="159">
        <v>10</v>
      </c>
      <c r="W95" s="176">
        <f>IF(C95="","",Q95/V95)</f>
        <v>3.3</v>
      </c>
    </row>
    <row r="96" spans="2:23" x14ac:dyDescent="0.3">
      <c r="C96" s="13"/>
      <c r="D96" s="23"/>
      <c r="E96" s="96"/>
      <c r="F96" s="23"/>
      <c r="G96" s="97" t="str">
        <f>IF(C96="","",E96*F96)</f>
        <v/>
      </c>
      <c r="P96" s="194"/>
      <c r="Q96" s="159"/>
      <c r="R96" s="157"/>
      <c r="S96" s="156" t="str">
        <f>IF(C96="","",VLOOKUP(R96,$AD$154:$AG$154,4,0))</f>
        <v/>
      </c>
      <c r="T96" s="158" t="str">
        <f>IF(C96="","",VLOOKUP(R96,$AD$154:$AG$154,2,0))</f>
        <v/>
      </c>
      <c r="U96" s="158" t="str">
        <f>IF(C96="","",VLOOKUP(R96,$AD$154:$AG$154,3,0))</f>
        <v/>
      </c>
      <c r="V96" s="159"/>
      <c r="W96" s="176" t="str">
        <f>IF(C96="","",Q96/V96)</f>
        <v/>
      </c>
    </row>
    <row r="97" spans="1:23" x14ac:dyDescent="0.3">
      <c r="C97" s="13"/>
      <c r="D97" s="23"/>
      <c r="E97" s="96"/>
      <c r="F97" s="23"/>
      <c r="G97" s="97" t="str">
        <f>IF(C97="","",E97*F97)</f>
        <v/>
      </c>
      <c r="P97" s="194"/>
      <c r="Q97" s="159"/>
      <c r="R97" s="157"/>
      <c r="S97" s="156" t="str">
        <f>IF(C97="","",VLOOKUP(R97,$AD$154:$AG$154,4,0))</f>
        <v/>
      </c>
      <c r="T97" s="158" t="str">
        <f>IF(C97="","",VLOOKUP(R97,$AD$154:$AG$154,2,0))</f>
        <v/>
      </c>
      <c r="U97" s="158" t="str">
        <f>IF(C97="","",VLOOKUP(R97,$AD$154:$AG$154,3,0))</f>
        <v/>
      </c>
      <c r="V97" s="159"/>
      <c r="W97" s="176" t="str">
        <f>IF(C97="","",Q97/V97)</f>
        <v/>
      </c>
    </row>
    <row r="98" spans="1:23" x14ac:dyDescent="0.3">
      <c r="C98" s="13"/>
      <c r="D98" s="23"/>
      <c r="E98" s="96"/>
      <c r="F98" s="23"/>
      <c r="G98" s="97" t="str">
        <f>IF(C98="","",E98*F98)</f>
        <v/>
      </c>
      <c r="P98" s="194"/>
      <c r="Q98" s="159"/>
      <c r="R98" s="157"/>
      <c r="S98" s="156" t="str">
        <f>IF(C98="","",VLOOKUP(R98,$AD$154:$AG$154,4,0))</f>
        <v/>
      </c>
      <c r="T98" s="158" t="str">
        <f>IF(C98="","",VLOOKUP(R98,$AD$154:$AG$154,2,0))</f>
        <v/>
      </c>
      <c r="U98" s="158" t="str">
        <f>IF(C98="","",VLOOKUP(R98,$AD$154:$AG$154,3,0))</f>
        <v/>
      </c>
      <c r="V98" s="159"/>
      <c r="W98" s="176" t="str">
        <f>IF(C98="","",Q98/V98)</f>
        <v/>
      </c>
    </row>
    <row r="99" spans="1:23" x14ac:dyDescent="0.3">
      <c r="C99" s="13"/>
      <c r="D99" s="23"/>
      <c r="E99" s="96"/>
      <c r="F99" s="23"/>
      <c r="G99" s="97" t="str">
        <f>IF(C99="","",E99*F99)</f>
        <v/>
      </c>
      <c r="P99" s="194"/>
      <c r="Q99" s="159" t="str">
        <f t="shared" ref="Q99:Q101" si="64">IF(P99="","",H100*P99)</f>
        <v/>
      </c>
      <c r="R99" s="157"/>
      <c r="S99" s="156" t="str">
        <f>IF(C99="","",VLOOKUP(R99,$AD$154:$AG$154,4,0))</f>
        <v/>
      </c>
      <c r="T99" s="158" t="str">
        <f>IF(C99="","",VLOOKUP(R99,$AD$154:$AG$154,2,0))</f>
        <v/>
      </c>
      <c r="U99" s="158" t="str">
        <f>IF(C99="","",VLOOKUP(R99,$AD$154:$AG$154,3,0))</f>
        <v/>
      </c>
      <c r="V99" s="159"/>
      <c r="W99" s="176" t="str">
        <f>IF(C99="","",Q99/V99)</f>
        <v/>
      </c>
    </row>
    <row r="100" spans="1:23" x14ac:dyDescent="0.3">
      <c r="C100" s="34"/>
      <c r="D100" s="162"/>
      <c r="E100" s="162"/>
      <c r="F100" s="162"/>
      <c r="G100" s="153">
        <f>SUM(G95:G99)</f>
        <v>1350</v>
      </c>
      <c r="P100" s="184" t="str">
        <f>IF(D101="","",VLOOKUP(D101,$C$111:$F$112,4,0))</f>
        <v/>
      </c>
      <c r="Q100" s="185" t="str">
        <f t="shared" si="64"/>
        <v/>
      </c>
      <c r="R100" s="190"/>
      <c r="S100" s="185"/>
      <c r="T100" s="186"/>
      <c r="U100" s="186"/>
      <c r="V100" s="186"/>
      <c r="W100" s="185">
        <f>SUM(W95:W99)</f>
        <v>3.3</v>
      </c>
    </row>
    <row r="101" spans="1:23" x14ac:dyDescent="0.3">
      <c r="C101" s="34"/>
      <c r="D101" s="162"/>
      <c r="E101" s="162"/>
      <c r="F101" s="162"/>
      <c r="G101" s="162"/>
      <c r="P101" s="187" t="str">
        <f>IF(D102="","",VLOOKUP(D102,$C$111:$F$112,4,0))</f>
        <v/>
      </c>
      <c r="Q101" s="188" t="str">
        <f t="shared" si="64"/>
        <v/>
      </c>
      <c r="R101" s="191"/>
      <c r="S101" s="188"/>
      <c r="T101" s="189"/>
      <c r="U101" s="189"/>
      <c r="V101" s="189"/>
      <c r="W101" s="188"/>
    </row>
    <row r="102" spans="1:23" ht="15.6" x14ac:dyDescent="0.3">
      <c r="B102" s="85" t="s">
        <v>190</v>
      </c>
      <c r="O102" s="85" t="s">
        <v>191</v>
      </c>
      <c r="S102" s="143" t="s">
        <v>192</v>
      </c>
    </row>
    <row r="103" spans="1:23" x14ac:dyDescent="0.3">
      <c r="C103" s="161" t="s">
        <v>181</v>
      </c>
      <c r="D103" s="21" t="s">
        <v>182</v>
      </c>
      <c r="E103" s="21" t="s">
        <v>183</v>
      </c>
      <c r="F103" s="21" t="s">
        <v>193</v>
      </c>
      <c r="G103" s="21" t="s">
        <v>74</v>
      </c>
      <c r="P103" s="181" t="s">
        <v>194</v>
      </c>
      <c r="Q103" s="21" t="s">
        <v>195</v>
      </c>
      <c r="R103" s="21" t="s">
        <v>196</v>
      </c>
      <c r="S103" s="21" t="s">
        <v>197</v>
      </c>
      <c r="T103" s="21" t="s">
        <v>74</v>
      </c>
    </row>
    <row r="104" spans="1:23" x14ac:dyDescent="0.3">
      <c r="C104" s="13" t="s">
        <v>198</v>
      </c>
      <c r="D104" s="23" t="s">
        <v>199</v>
      </c>
      <c r="E104" s="214">
        <v>200</v>
      </c>
      <c r="F104" s="23">
        <v>3.3</v>
      </c>
      <c r="G104" s="97">
        <f>IF(C104="","",E104*F104)</f>
        <v>660</v>
      </c>
      <c r="P104" s="183" t="s">
        <v>200</v>
      </c>
      <c r="Q104" s="23">
        <v>0.3</v>
      </c>
      <c r="R104" s="198">
        <f t="shared" ref="R104:R110" si="65">IF(P104="","",VLOOKUP(P104,$AD$131:$AF$132,3,0))</f>
        <v>31</v>
      </c>
      <c r="S104" s="199">
        <f>IF(P104="","",$L$114)</f>
        <v>166.73949884087884</v>
      </c>
      <c r="T104" s="198">
        <f>IF(P104="","",Q104*R104*S104)</f>
        <v>1550.6773392201731</v>
      </c>
    </row>
    <row r="105" spans="1:23" x14ac:dyDescent="0.3">
      <c r="C105" s="13" t="s">
        <v>201</v>
      </c>
      <c r="D105" s="23" t="s">
        <v>202</v>
      </c>
      <c r="E105" s="214">
        <v>350</v>
      </c>
      <c r="F105" s="23">
        <v>2</v>
      </c>
      <c r="G105" s="97">
        <f t="shared" ref="G105:G109" si="66">IF(C105="","",E105*F105)</f>
        <v>700</v>
      </c>
      <c r="P105" s="183" t="s">
        <v>203</v>
      </c>
      <c r="Q105" s="23">
        <v>2</v>
      </c>
      <c r="R105" s="198">
        <f t="shared" si="65"/>
        <v>28</v>
      </c>
      <c r="S105" s="199">
        <f t="shared" ref="S105:S110" si="67">IF(P105="","",$L$114)</f>
        <v>166.73949884087884</v>
      </c>
      <c r="T105" s="198">
        <f t="shared" ref="T105:T110" si="68">IF(P105="","",Q105*R105*S105)</f>
        <v>9337.4119350892142</v>
      </c>
    </row>
    <row r="106" spans="1:23" x14ac:dyDescent="0.3">
      <c r="C106" s="13"/>
      <c r="D106" s="23"/>
      <c r="E106" s="214"/>
      <c r="F106" s="23"/>
      <c r="G106" s="97" t="str">
        <f t="shared" si="66"/>
        <v/>
      </c>
      <c r="P106" s="183"/>
      <c r="Q106" s="23"/>
      <c r="R106" s="198" t="str">
        <f t="shared" si="65"/>
        <v/>
      </c>
      <c r="S106" s="199" t="str">
        <f t="shared" si="67"/>
        <v/>
      </c>
      <c r="T106" s="198" t="str">
        <f t="shared" si="68"/>
        <v/>
      </c>
    </row>
    <row r="107" spans="1:23" x14ac:dyDescent="0.3">
      <c r="C107" s="13"/>
      <c r="D107" s="23"/>
      <c r="E107" s="214"/>
      <c r="F107" s="23"/>
      <c r="G107" s="97" t="str">
        <f t="shared" si="66"/>
        <v/>
      </c>
      <c r="P107" s="183"/>
      <c r="Q107" s="23"/>
      <c r="R107" s="198" t="str">
        <f t="shared" si="65"/>
        <v/>
      </c>
      <c r="S107" s="199" t="str">
        <f t="shared" si="67"/>
        <v/>
      </c>
      <c r="T107" s="198" t="str">
        <f t="shared" si="68"/>
        <v/>
      </c>
    </row>
    <row r="108" spans="1:23" x14ac:dyDescent="0.3">
      <c r="C108" s="13"/>
      <c r="D108" s="23"/>
      <c r="E108" s="214"/>
      <c r="F108" s="23"/>
      <c r="G108" s="97" t="str">
        <f t="shared" si="66"/>
        <v/>
      </c>
      <c r="P108" s="183"/>
      <c r="Q108" s="23"/>
      <c r="R108" s="198" t="str">
        <f t="shared" si="65"/>
        <v/>
      </c>
      <c r="S108" s="199" t="str">
        <f t="shared" si="67"/>
        <v/>
      </c>
      <c r="T108" s="198" t="str">
        <f t="shared" si="68"/>
        <v/>
      </c>
    </row>
    <row r="109" spans="1:23" ht="15" customHeight="1" x14ac:dyDescent="0.4">
      <c r="A109" s="36"/>
      <c r="C109" s="13"/>
      <c r="D109" s="23"/>
      <c r="E109" s="214"/>
      <c r="F109" s="23"/>
      <c r="G109" s="97" t="str">
        <f t="shared" si="66"/>
        <v/>
      </c>
      <c r="O109" s="167"/>
      <c r="P109" s="183"/>
      <c r="Q109" s="23"/>
      <c r="R109" s="198" t="str">
        <f t="shared" si="65"/>
        <v/>
      </c>
      <c r="S109" s="199" t="str">
        <f t="shared" si="67"/>
        <v/>
      </c>
      <c r="T109" s="198" t="str">
        <f t="shared" si="68"/>
        <v/>
      </c>
    </row>
    <row r="110" spans="1:23" s="164" customFormat="1" ht="15" customHeight="1" x14ac:dyDescent="0.35">
      <c r="B110" s="98"/>
      <c r="C110" s="6"/>
      <c r="D110" s="29"/>
      <c r="E110" s="29"/>
      <c r="F110" s="29"/>
      <c r="G110" s="201">
        <f>SUM(G104:G109)</f>
        <v>1360</v>
      </c>
      <c r="H110" s="165"/>
      <c r="I110" s="165"/>
      <c r="J110" s="165"/>
      <c r="K110" s="165"/>
      <c r="L110" s="165"/>
      <c r="M110" s="166"/>
      <c r="N110" s="166"/>
      <c r="O110" s="94"/>
      <c r="P110" s="183"/>
      <c r="Q110" s="23"/>
      <c r="R110" s="198" t="str">
        <f t="shared" si="65"/>
        <v/>
      </c>
      <c r="S110" s="199" t="str">
        <f t="shared" si="67"/>
        <v/>
      </c>
      <c r="T110" s="198" t="str">
        <f t="shared" si="68"/>
        <v/>
      </c>
      <c r="V110" s="165" t="s">
        <v>204</v>
      </c>
      <c r="W110" s="165" t="s">
        <v>205</v>
      </c>
    </row>
    <row r="111" spans="1:23" s="94" customFormat="1" ht="18" x14ac:dyDescent="0.35">
      <c r="B111" s="86"/>
      <c r="M111" s="95"/>
      <c r="N111" s="95"/>
      <c r="O111" s="93"/>
      <c r="P111"/>
      <c r="Q111" s="18"/>
      <c r="R111" s="18"/>
      <c r="S111" s="18"/>
      <c r="T111" s="200">
        <f>SUM(T104:T110)</f>
        <v>10888.089274309386</v>
      </c>
    </row>
    <row r="112" spans="1:23" ht="15.6" x14ac:dyDescent="0.3">
      <c r="E112" s="28"/>
      <c r="F112" s="180"/>
      <c r="G112" s="28"/>
      <c r="M112" s="85"/>
      <c r="N112" s="85"/>
    </row>
    <row r="113" spans="10:12" ht="18" x14ac:dyDescent="0.35">
      <c r="J113" s="202" t="s">
        <v>206</v>
      </c>
      <c r="K113" s="203"/>
      <c r="L113" s="204"/>
    </row>
    <row r="114" spans="10:12" x14ac:dyDescent="0.3">
      <c r="J114" s="205" t="s">
        <v>207</v>
      </c>
      <c r="K114" s="37"/>
      <c r="L114" s="206">
        <f>SUM(W91,W80,W72,W62,W52,W42,W30,W18,W100)</f>
        <v>166.73949884087884</v>
      </c>
    </row>
    <row r="115" spans="10:12" x14ac:dyDescent="0.3">
      <c r="J115" s="205" t="s">
        <v>208</v>
      </c>
      <c r="K115" s="37"/>
      <c r="L115" s="207">
        <f>SUM(G100,H91,J80,M72,J62,I52,J42,K30,J18)</f>
        <v>12049.478999999999</v>
      </c>
    </row>
    <row r="116" spans="10:12" x14ac:dyDescent="0.3">
      <c r="J116" s="205" t="s">
        <v>209</v>
      </c>
      <c r="K116" s="37"/>
      <c r="L116" s="208">
        <f>G110</f>
        <v>1360</v>
      </c>
    </row>
    <row r="117" spans="10:12" x14ac:dyDescent="0.3">
      <c r="J117" s="209" t="s">
        <v>210</v>
      </c>
      <c r="K117" s="182"/>
      <c r="L117" s="210">
        <f>T111</f>
        <v>10888.089274309386</v>
      </c>
    </row>
    <row r="118" spans="10:12" ht="15.6" x14ac:dyDescent="0.3">
      <c r="J118" s="211" t="s">
        <v>211</v>
      </c>
      <c r="K118" s="212"/>
      <c r="L118" s="213">
        <f>SUM(L115:L117)</f>
        <v>24297.568274309386</v>
      </c>
    </row>
    <row r="129" spans="2:34" ht="15" thickBot="1" x14ac:dyDescent="0.35">
      <c r="G129" s="37"/>
      <c r="H129" s="37"/>
      <c r="I129" s="37"/>
      <c r="J129" s="37"/>
      <c r="K129" s="37"/>
      <c r="L129" s="37"/>
      <c r="M129" s="168"/>
      <c r="N129" s="168"/>
      <c r="O129" s="37"/>
      <c r="P129" s="37"/>
    </row>
    <row r="130" spans="2:34" x14ac:dyDescent="0.3">
      <c r="B130" s="88" t="s">
        <v>212</v>
      </c>
      <c r="C130" s="38"/>
      <c r="D130" s="38"/>
      <c r="E130" s="38"/>
      <c r="F130" s="38"/>
      <c r="G130" s="170"/>
      <c r="H130" s="51"/>
      <c r="I130" s="51"/>
      <c r="J130" s="51"/>
      <c r="K130" s="51"/>
      <c r="L130" s="51"/>
      <c r="M130" s="171"/>
      <c r="N130" s="171"/>
      <c r="O130" s="51"/>
      <c r="P130" s="51"/>
      <c r="Q130" s="51"/>
      <c r="R130" s="51"/>
      <c r="S130" s="52"/>
      <c r="AD130" s="39" t="s">
        <v>213</v>
      </c>
      <c r="AE130" s="40" t="s">
        <v>214</v>
      </c>
      <c r="AF130" s="41" t="s">
        <v>196</v>
      </c>
    </row>
    <row r="131" spans="2:34" x14ac:dyDescent="0.3">
      <c r="B131" s="172"/>
      <c r="C131" s="104" t="s">
        <v>181</v>
      </c>
      <c r="D131" s="49" t="s">
        <v>182</v>
      </c>
      <c r="E131" s="108" t="s">
        <v>183</v>
      </c>
      <c r="F131" s="108" t="s">
        <v>215</v>
      </c>
      <c r="G131" s="173"/>
      <c r="H131" s="173"/>
      <c r="I131" s="173"/>
      <c r="J131" s="173"/>
      <c r="K131" s="173"/>
      <c r="L131" s="173"/>
      <c r="M131" s="174"/>
      <c r="N131" s="174"/>
      <c r="O131" s="49" t="s">
        <v>181</v>
      </c>
      <c r="P131" s="49"/>
      <c r="Q131" s="49" t="s">
        <v>182</v>
      </c>
      <c r="R131" s="108" t="s">
        <v>183</v>
      </c>
      <c r="S131" s="109" t="s">
        <v>215</v>
      </c>
      <c r="AD131" s="44" t="s">
        <v>200</v>
      </c>
      <c r="AE131" s="37">
        <v>0.3</v>
      </c>
      <c r="AF131" s="178">
        <v>31</v>
      </c>
    </row>
    <row r="132" spans="2:34" ht="15" thickBot="1" x14ac:dyDescent="0.35">
      <c r="B132" s="172"/>
      <c r="C132" s="37"/>
      <c r="D132" s="28"/>
      <c r="E132" s="28"/>
      <c r="F132" s="28"/>
      <c r="G132" s="37"/>
      <c r="H132" s="37"/>
      <c r="I132" s="37"/>
      <c r="J132" s="37"/>
      <c r="K132" s="37"/>
      <c r="L132" s="37"/>
      <c r="M132" s="168"/>
      <c r="N132" s="168"/>
      <c r="O132" s="42"/>
      <c r="P132" s="37"/>
      <c r="Q132" s="37"/>
      <c r="R132" s="37"/>
      <c r="S132" s="43"/>
      <c r="AD132" s="46" t="s">
        <v>203</v>
      </c>
      <c r="AE132" s="47">
        <v>2</v>
      </c>
      <c r="AF132" s="179">
        <v>28</v>
      </c>
    </row>
    <row r="133" spans="2:34" ht="15" thickBot="1" x14ac:dyDescent="0.35">
      <c r="B133" s="89" t="s">
        <v>216</v>
      </c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168"/>
      <c r="N133" s="168"/>
      <c r="O133" s="103" t="s">
        <v>217</v>
      </c>
      <c r="P133" s="37"/>
      <c r="Q133" s="37"/>
      <c r="R133" s="37"/>
      <c r="S133" s="43"/>
    </row>
    <row r="134" spans="2:34" x14ac:dyDescent="0.3">
      <c r="B134" s="172"/>
      <c r="C134" s="37" t="s">
        <v>84</v>
      </c>
      <c r="D134" s="37" t="s">
        <v>218</v>
      </c>
      <c r="E134" s="56">
        <v>5.7889999999999997</v>
      </c>
      <c r="F134" s="175">
        <f>2*4*16/12</f>
        <v>10.666666666666666</v>
      </c>
      <c r="G134" s="173"/>
      <c r="H134" s="173"/>
      <c r="I134" s="173"/>
      <c r="J134" s="173"/>
      <c r="K134" s="173"/>
      <c r="L134" s="173"/>
      <c r="M134" s="168"/>
      <c r="N134" s="168"/>
      <c r="O134" s="103"/>
      <c r="P134" s="37" t="s">
        <v>219</v>
      </c>
      <c r="Q134" s="37" t="s">
        <v>220</v>
      </c>
      <c r="R134" s="56">
        <v>5.22</v>
      </c>
      <c r="S134" s="45">
        <v>32</v>
      </c>
      <c r="AD134" s="50" t="s">
        <v>221</v>
      </c>
      <c r="AE134" s="51"/>
      <c r="AF134" s="51"/>
      <c r="AG134" s="52"/>
    </row>
    <row r="135" spans="2:34" x14ac:dyDescent="0.3">
      <c r="B135" s="172"/>
      <c r="C135" s="37" t="s">
        <v>87</v>
      </c>
      <c r="D135" s="37" t="s">
        <v>218</v>
      </c>
      <c r="E135" s="56">
        <v>8.3509999999999991</v>
      </c>
      <c r="F135" s="175">
        <f>2*6*16/12</f>
        <v>16</v>
      </c>
      <c r="G135" s="28"/>
      <c r="H135" s="37"/>
      <c r="I135" s="37"/>
      <c r="J135" s="37"/>
      <c r="K135" s="37"/>
      <c r="L135" s="37"/>
      <c r="M135" s="168"/>
      <c r="N135" s="168"/>
      <c r="O135" s="103"/>
      <c r="P135" s="37" t="s">
        <v>222</v>
      </c>
      <c r="Q135" s="37" t="s">
        <v>220</v>
      </c>
      <c r="R135" s="56">
        <v>5.67</v>
      </c>
      <c r="S135" s="45">
        <v>36</v>
      </c>
      <c r="AC135" s="29"/>
      <c r="AD135" s="53" t="s">
        <v>77</v>
      </c>
      <c r="AE135" s="54" t="s">
        <v>223</v>
      </c>
      <c r="AF135" s="54" t="s">
        <v>224</v>
      </c>
      <c r="AG135" s="55" t="s">
        <v>225</v>
      </c>
      <c r="AH135" s="37"/>
    </row>
    <row r="136" spans="2:34" x14ac:dyDescent="0.3">
      <c r="B136" s="172"/>
      <c r="C136" s="37"/>
      <c r="D136" s="37"/>
      <c r="E136" s="37"/>
      <c r="F136" s="37"/>
      <c r="G136" s="28"/>
      <c r="H136" s="37"/>
      <c r="I136" s="37"/>
      <c r="J136" s="37"/>
      <c r="K136" s="37"/>
      <c r="L136" s="37"/>
      <c r="M136" s="168"/>
      <c r="N136" s="168"/>
      <c r="O136" s="103"/>
      <c r="P136" s="37" t="s">
        <v>151</v>
      </c>
      <c r="Q136" s="37" t="s">
        <v>220</v>
      </c>
      <c r="R136" s="56">
        <v>6.08</v>
      </c>
      <c r="S136" s="45">
        <v>40</v>
      </c>
      <c r="AC136" s="29"/>
      <c r="AD136" s="44" t="s">
        <v>226</v>
      </c>
      <c r="AE136" s="59">
        <v>1.5</v>
      </c>
      <c r="AF136" s="59">
        <v>2.5</v>
      </c>
      <c r="AG136" s="60" t="s">
        <v>227</v>
      </c>
      <c r="AH136" s="54"/>
    </row>
    <row r="137" spans="2:34" x14ac:dyDescent="0.3">
      <c r="B137" s="89" t="s">
        <v>228</v>
      </c>
      <c r="C137" s="58" t="s">
        <v>229</v>
      </c>
      <c r="D137" s="37" t="s">
        <v>218</v>
      </c>
      <c r="E137" s="56">
        <v>3.06</v>
      </c>
      <c r="F137" s="175">
        <f>2*4*8/12</f>
        <v>5.333333333333333</v>
      </c>
      <c r="G137" s="28"/>
      <c r="H137" s="37"/>
      <c r="I137" s="37"/>
      <c r="J137" s="37"/>
      <c r="K137" s="37"/>
      <c r="L137" s="37"/>
      <c r="M137" s="168"/>
      <c r="N137" s="168"/>
      <c r="O137" s="103"/>
      <c r="P137" s="37" t="s">
        <v>167</v>
      </c>
      <c r="Q137" s="37" t="s">
        <v>220</v>
      </c>
      <c r="R137" s="56">
        <v>5.7119999999999997</v>
      </c>
      <c r="S137" s="45">
        <v>32</v>
      </c>
      <c r="AD137" s="44" t="s">
        <v>230</v>
      </c>
      <c r="AE137" s="59">
        <v>50</v>
      </c>
      <c r="AF137" s="59">
        <v>54</v>
      </c>
      <c r="AG137" s="60" t="s">
        <v>231</v>
      </c>
    </row>
    <row r="138" spans="2:34" x14ac:dyDescent="0.3">
      <c r="B138" s="89"/>
      <c r="C138" s="58" t="s">
        <v>232</v>
      </c>
      <c r="D138" s="37" t="s">
        <v>218</v>
      </c>
      <c r="E138" s="56">
        <v>3.66</v>
      </c>
      <c r="F138" s="175">
        <f>2*4*10/12</f>
        <v>6.666666666666667</v>
      </c>
      <c r="G138" s="28"/>
      <c r="H138" s="37"/>
      <c r="I138" s="37"/>
      <c r="J138" s="37"/>
      <c r="K138" s="37"/>
      <c r="L138" s="37"/>
      <c r="M138" s="168"/>
      <c r="N138" s="168"/>
      <c r="O138" s="103"/>
      <c r="P138" s="37" t="s">
        <v>233</v>
      </c>
      <c r="Q138" s="37" t="s">
        <v>220</v>
      </c>
      <c r="R138" s="56">
        <v>6.2</v>
      </c>
      <c r="S138" s="45">
        <v>36</v>
      </c>
      <c r="AD138" s="100" t="s">
        <v>85</v>
      </c>
      <c r="AE138" s="59">
        <v>63</v>
      </c>
      <c r="AF138" s="59">
        <v>68</v>
      </c>
      <c r="AG138" s="60" t="s">
        <v>231</v>
      </c>
    </row>
    <row r="139" spans="2:34" x14ac:dyDescent="0.3">
      <c r="B139" s="89"/>
      <c r="C139" s="58" t="s">
        <v>234</v>
      </c>
      <c r="D139" s="37" t="s">
        <v>218</v>
      </c>
      <c r="E139" s="56">
        <v>4.1900000000000004</v>
      </c>
      <c r="F139" s="175">
        <f>2*4*12/12</f>
        <v>8</v>
      </c>
      <c r="G139" s="28"/>
      <c r="H139" s="37"/>
      <c r="I139" s="37"/>
      <c r="J139" s="37"/>
      <c r="K139" s="37"/>
      <c r="L139" s="37"/>
      <c r="M139" s="168"/>
      <c r="N139" s="168"/>
      <c r="O139" s="103"/>
      <c r="P139" s="37" t="s">
        <v>235</v>
      </c>
      <c r="Q139" s="37" t="s">
        <v>220</v>
      </c>
      <c r="R139" s="56">
        <v>6.68</v>
      </c>
      <c r="S139" s="45">
        <v>40</v>
      </c>
      <c r="AD139" s="100" t="s">
        <v>88</v>
      </c>
      <c r="AE139" s="59">
        <v>90</v>
      </c>
      <c r="AF139" s="59">
        <v>95</v>
      </c>
      <c r="AG139" s="60" t="s">
        <v>231</v>
      </c>
    </row>
    <row r="140" spans="2:34" x14ac:dyDescent="0.3">
      <c r="B140" s="90"/>
      <c r="C140" s="58" t="s">
        <v>236</v>
      </c>
      <c r="D140" s="37" t="s">
        <v>218</v>
      </c>
      <c r="E140" s="56">
        <v>4.8899999999999997</v>
      </c>
      <c r="F140" s="175">
        <f>2*4*14/12</f>
        <v>9.3333333333333339</v>
      </c>
      <c r="G140" s="28"/>
      <c r="H140" s="37"/>
      <c r="I140" s="37"/>
      <c r="J140" s="37"/>
      <c r="K140" s="37"/>
      <c r="L140" s="37"/>
      <c r="M140" s="168"/>
      <c r="N140" s="168"/>
      <c r="O140" s="103"/>
      <c r="P140" s="37" t="s">
        <v>157</v>
      </c>
      <c r="Q140" s="37" t="s">
        <v>220</v>
      </c>
      <c r="R140" s="56">
        <v>9.9819999999999993</v>
      </c>
      <c r="S140" s="45">
        <v>32</v>
      </c>
      <c r="AD140" s="44" t="s">
        <v>237</v>
      </c>
      <c r="AE140" s="59">
        <v>79</v>
      </c>
      <c r="AF140" s="59">
        <v>92</v>
      </c>
      <c r="AG140" s="60" t="s">
        <v>231</v>
      </c>
    </row>
    <row r="141" spans="2:34" x14ac:dyDescent="0.3">
      <c r="B141" s="89"/>
      <c r="C141" s="58" t="s">
        <v>238</v>
      </c>
      <c r="D141" s="37" t="s">
        <v>218</v>
      </c>
      <c r="E141" s="56">
        <v>5.85</v>
      </c>
      <c r="F141" s="175">
        <f>2*4*16/12</f>
        <v>10.666666666666666</v>
      </c>
      <c r="G141" s="28"/>
      <c r="H141" s="37"/>
      <c r="I141" s="37"/>
      <c r="J141" s="37"/>
      <c r="K141" s="37"/>
      <c r="L141" s="37"/>
      <c r="M141" s="168"/>
      <c r="N141" s="168"/>
      <c r="O141" s="103"/>
      <c r="P141" s="37"/>
      <c r="Q141" s="37"/>
      <c r="R141" s="56"/>
      <c r="S141" s="45"/>
      <c r="AD141" s="100" t="s">
        <v>118</v>
      </c>
      <c r="AE141" s="59">
        <v>100</v>
      </c>
      <c r="AF141" s="59">
        <v>115</v>
      </c>
      <c r="AG141" s="60" t="s">
        <v>231</v>
      </c>
    </row>
    <row r="142" spans="2:34" x14ac:dyDescent="0.3">
      <c r="B142" s="89"/>
      <c r="C142" s="58" t="s">
        <v>239</v>
      </c>
      <c r="D142" s="37" t="s">
        <v>218</v>
      </c>
      <c r="E142" s="56">
        <v>6.58</v>
      </c>
      <c r="F142" s="175">
        <f>2*4*18/12</f>
        <v>12</v>
      </c>
      <c r="G142" s="28"/>
      <c r="H142" s="37"/>
      <c r="I142" s="37"/>
      <c r="J142" s="37"/>
      <c r="K142" s="37"/>
      <c r="L142" s="37"/>
      <c r="M142" s="168"/>
      <c r="N142" s="168"/>
      <c r="O142" s="103" t="s">
        <v>240</v>
      </c>
      <c r="P142" s="37" t="s">
        <v>241</v>
      </c>
      <c r="Q142" s="37" t="s">
        <v>131</v>
      </c>
      <c r="R142" s="56">
        <v>1.56</v>
      </c>
      <c r="S142" s="61">
        <f>1.75*9.5*1/12</f>
        <v>1.3854166666666667</v>
      </c>
      <c r="AD142" s="100" t="s">
        <v>114</v>
      </c>
      <c r="AE142" s="59">
        <v>110</v>
      </c>
      <c r="AF142" s="59">
        <v>125</v>
      </c>
      <c r="AG142" s="60" t="s">
        <v>231</v>
      </c>
    </row>
    <row r="143" spans="2:34" x14ac:dyDescent="0.3">
      <c r="B143" s="172"/>
      <c r="C143" s="58" t="s">
        <v>242</v>
      </c>
      <c r="D143" s="37" t="s">
        <v>218</v>
      </c>
      <c r="E143" s="56">
        <v>7.31</v>
      </c>
      <c r="F143" s="175">
        <f>2*4*20/12</f>
        <v>13.333333333333334</v>
      </c>
      <c r="G143" s="28"/>
      <c r="H143" s="37"/>
      <c r="I143" s="37"/>
      <c r="J143" s="37"/>
      <c r="K143" s="37"/>
      <c r="L143" s="37"/>
      <c r="M143" s="168"/>
      <c r="N143" s="168"/>
      <c r="O143" s="103"/>
      <c r="P143" s="37" t="s">
        <v>243</v>
      </c>
      <c r="Q143" s="37" t="s">
        <v>131</v>
      </c>
      <c r="R143" s="56">
        <v>1.98</v>
      </c>
      <c r="S143" s="61">
        <f>1.75*11.875*1/12</f>
        <v>1.7317708333333333</v>
      </c>
      <c r="AD143" s="44" t="s">
        <v>244</v>
      </c>
      <c r="AE143" s="59">
        <v>150</v>
      </c>
      <c r="AF143" s="59">
        <v>260</v>
      </c>
      <c r="AG143" s="60" t="s">
        <v>231</v>
      </c>
    </row>
    <row r="144" spans="2:34" x14ac:dyDescent="0.3">
      <c r="B144" s="89" t="s">
        <v>245</v>
      </c>
      <c r="C144" s="37"/>
      <c r="D144" s="28"/>
      <c r="E144" s="28"/>
      <c r="F144" s="28"/>
      <c r="G144" s="28"/>
      <c r="H144" s="37"/>
      <c r="I144" s="37"/>
      <c r="J144" s="37"/>
      <c r="K144" s="37"/>
      <c r="L144" s="37"/>
      <c r="M144" s="168"/>
      <c r="N144" s="168"/>
      <c r="O144" s="103"/>
      <c r="P144" s="37" t="s">
        <v>246</v>
      </c>
      <c r="Q144" s="37" t="s">
        <v>131</v>
      </c>
      <c r="R144" s="56">
        <v>2.33</v>
      </c>
      <c r="S144" s="61">
        <f>1.75*14*1/12</f>
        <v>2.0416666666666665</v>
      </c>
      <c r="AD144" s="44" t="s">
        <v>247</v>
      </c>
      <c r="AE144" s="59">
        <v>200</v>
      </c>
      <c r="AF144" s="59">
        <v>310</v>
      </c>
      <c r="AG144" s="60" t="s">
        <v>231</v>
      </c>
    </row>
    <row r="145" spans="2:33" x14ac:dyDescent="0.3">
      <c r="B145" s="172"/>
      <c r="C145" s="58" t="s">
        <v>248</v>
      </c>
      <c r="D145" s="37" t="s">
        <v>218</v>
      </c>
      <c r="E145" s="56">
        <v>4.24</v>
      </c>
      <c r="F145" s="175">
        <f>2*6*8/12</f>
        <v>8</v>
      </c>
      <c r="G145" s="28"/>
      <c r="H145" s="37"/>
      <c r="I145" s="37"/>
      <c r="J145" s="37"/>
      <c r="K145" s="37"/>
      <c r="L145" s="37"/>
      <c r="M145" s="168"/>
      <c r="N145" s="168"/>
      <c r="O145" s="103"/>
      <c r="P145" s="37" t="s">
        <v>249</v>
      </c>
      <c r="Q145" s="37" t="s">
        <v>131</v>
      </c>
      <c r="R145" s="56">
        <v>2.04</v>
      </c>
      <c r="S145" s="61">
        <f>3.5*3.5*1/12</f>
        <v>1.0208333333333333</v>
      </c>
      <c r="AD145" s="44" t="s">
        <v>250</v>
      </c>
      <c r="AE145" s="59">
        <v>300</v>
      </c>
      <c r="AF145" s="59">
        <v>320</v>
      </c>
      <c r="AG145" s="60" t="s">
        <v>251</v>
      </c>
    </row>
    <row r="146" spans="2:33" x14ac:dyDescent="0.3">
      <c r="B146" s="89"/>
      <c r="C146" s="58" t="s">
        <v>252</v>
      </c>
      <c r="D146" s="37" t="s">
        <v>218</v>
      </c>
      <c r="E146" s="56">
        <v>5.71</v>
      </c>
      <c r="F146" s="175">
        <f>2*6*10/12</f>
        <v>10</v>
      </c>
      <c r="G146" s="28"/>
      <c r="H146" s="37"/>
      <c r="I146" s="37"/>
      <c r="J146" s="37"/>
      <c r="K146" s="37"/>
      <c r="L146" s="37"/>
      <c r="M146" s="168"/>
      <c r="N146" s="168"/>
      <c r="O146" s="103"/>
      <c r="P146" s="37" t="s">
        <v>253</v>
      </c>
      <c r="Q146" s="37" t="s">
        <v>131</v>
      </c>
      <c r="R146" s="56">
        <v>2.56</v>
      </c>
      <c r="S146" s="61">
        <f>3.5*5.5*1/12</f>
        <v>1.6041666666666667</v>
      </c>
      <c r="AD146" s="44" t="s">
        <v>254</v>
      </c>
      <c r="AE146" s="59">
        <v>280</v>
      </c>
      <c r="AF146" s="59">
        <v>300</v>
      </c>
      <c r="AG146" s="60" t="s">
        <v>251</v>
      </c>
    </row>
    <row r="147" spans="2:33" x14ac:dyDescent="0.3">
      <c r="B147" s="89"/>
      <c r="C147" s="58" t="s">
        <v>255</v>
      </c>
      <c r="D147" s="37" t="s">
        <v>218</v>
      </c>
      <c r="E147" s="56">
        <v>6.58</v>
      </c>
      <c r="F147" s="175">
        <f>2*6*12/12</f>
        <v>12</v>
      </c>
      <c r="G147" s="28"/>
      <c r="H147" s="37"/>
      <c r="I147" s="37"/>
      <c r="J147" s="37"/>
      <c r="K147" s="37"/>
      <c r="L147" s="37"/>
      <c r="M147" s="168"/>
      <c r="N147" s="168"/>
      <c r="O147" s="103"/>
      <c r="P147" s="37" t="s">
        <v>256</v>
      </c>
      <c r="Q147" s="37" t="s">
        <v>131</v>
      </c>
      <c r="R147" s="56">
        <v>3.01</v>
      </c>
      <c r="S147" s="61">
        <f>3.5*7.25*1/12</f>
        <v>2.1145833333333335</v>
      </c>
      <c r="AD147" s="44" t="s">
        <v>257</v>
      </c>
      <c r="AE147" s="59">
        <v>268</v>
      </c>
      <c r="AF147" s="59">
        <v>288</v>
      </c>
      <c r="AG147" s="60" t="s">
        <v>251</v>
      </c>
    </row>
    <row r="148" spans="2:33" x14ac:dyDescent="0.3">
      <c r="B148" s="89"/>
      <c r="C148" s="58" t="s">
        <v>258</v>
      </c>
      <c r="D148" s="37" t="s">
        <v>218</v>
      </c>
      <c r="E148" s="56">
        <v>7.67</v>
      </c>
      <c r="F148" s="175">
        <f>2*6*14/12</f>
        <v>14</v>
      </c>
      <c r="G148" s="28"/>
      <c r="H148" s="37"/>
      <c r="I148" s="37"/>
      <c r="J148" s="37"/>
      <c r="K148" s="37"/>
      <c r="L148" s="37"/>
      <c r="M148" s="168"/>
      <c r="N148" s="168"/>
      <c r="O148" s="103"/>
      <c r="P148" s="37" t="s">
        <v>259</v>
      </c>
      <c r="Q148" s="37" t="s">
        <v>131</v>
      </c>
      <c r="R148" s="56">
        <v>3.12</v>
      </c>
      <c r="S148" s="61">
        <f>3.5*9.5*1/12</f>
        <v>2.7708333333333335</v>
      </c>
      <c r="AD148" s="44" t="s">
        <v>137</v>
      </c>
      <c r="AE148" s="59">
        <v>250</v>
      </c>
      <c r="AF148" s="59">
        <v>270</v>
      </c>
      <c r="AG148" s="60" t="s">
        <v>251</v>
      </c>
    </row>
    <row r="149" spans="2:33" x14ac:dyDescent="0.3">
      <c r="B149" s="89"/>
      <c r="C149" s="58" t="s">
        <v>260</v>
      </c>
      <c r="D149" s="37" t="s">
        <v>218</v>
      </c>
      <c r="E149" s="56">
        <v>9.14</v>
      </c>
      <c r="F149" s="175">
        <f>2*6*16/12</f>
        <v>16</v>
      </c>
      <c r="G149" s="28"/>
      <c r="H149" s="37"/>
      <c r="I149" s="37"/>
      <c r="J149" s="37"/>
      <c r="K149" s="37"/>
      <c r="L149" s="37"/>
      <c r="M149" s="168"/>
      <c r="N149" s="168"/>
      <c r="O149" s="103"/>
      <c r="P149" s="37" t="s">
        <v>261</v>
      </c>
      <c r="Q149" s="37" t="s">
        <v>131</v>
      </c>
      <c r="R149" s="56">
        <v>4.9800000000000004</v>
      </c>
      <c r="S149" s="61">
        <f>3.5*11.875*1/12</f>
        <v>3.4635416666666665</v>
      </c>
      <c r="AD149" s="44" t="s">
        <v>262</v>
      </c>
      <c r="AE149" s="59">
        <v>230</v>
      </c>
      <c r="AF149" s="59">
        <v>250</v>
      </c>
      <c r="AG149" s="60" t="s">
        <v>251</v>
      </c>
    </row>
    <row r="150" spans="2:33" x14ac:dyDescent="0.3">
      <c r="B150" s="89"/>
      <c r="C150" s="58" t="s">
        <v>263</v>
      </c>
      <c r="D150" s="37" t="s">
        <v>218</v>
      </c>
      <c r="E150" s="56">
        <v>10.28</v>
      </c>
      <c r="F150" s="175">
        <f>2*6*18/12</f>
        <v>18</v>
      </c>
      <c r="G150" s="28"/>
      <c r="H150" s="37"/>
      <c r="I150" s="37"/>
      <c r="J150" s="37"/>
      <c r="K150" s="37"/>
      <c r="L150" s="37"/>
      <c r="M150" s="168"/>
      <c r="N150" s="168"/>
      <c r="O150" s="103"/>
      <c r="P150" s="37" t="s">
        <v>264</v>
      </c>
      <c r="Q150" s="37" t="s">
        <v>131</v>
      </c>
      <c r="R150" s="56">
        <v>7.14</v>
      </c>
      <c r="S150" s="61">
        <f>3.5*14*1/12</f>
        <v>4.083333333333333</v>
      </c>
      <c r="AD150" s="44" t="s">
        <v>265</v>
      </c>
      <c r="AE150" s="59">
        <v>12</v>
      </c>
      <c r="AF150" s="59">
        <v>25</v>
      </c>
      <c r="AG150" s="60" t="s">
        <v>231</v>
      </c>
    </row>
    <row r="151" spans="2:33" x14ac:dyDescent="0.3">
      <c r="B151" s="89"/>
      <c r="C151" s="58" t="s">
        <v>266</v>
      </c>
      <c r="D151" s="37" t="s">
        <v>218</v>
      </c>
      <c r="E151" s="56">
        <v>11.42</v>
      </c>
      <c r="F151" s="175">
        <f>2*6*20/12</f>
        <v>20</v>
      </c>
      <c r="G151" s="28"/>
      <c r="H151" s="37"/>
      <c r="I151" s="37"/>
      <c r="J151" s="37"/>
      <c r="K151" s="37"/>
      <c r="L151" s="37"/>
      <c r="M151" s="168"/>
      <c r="N151" s="168"/>
      <c r="O151" s="103" t="s">
        <v>267</v>
      </c>
      <c r="P151" s="37" t="s">
        <v>268</v>
      </c>
      <c r="Q151" s="37" t="s">
        <v>131</v>
      </c>
      <c r="R151" s="56">
        <v>1.91</v>
      </c>
      <c r="S151" s="61">
        <f>1.5*3.5*1/12</f>
        <v>0.4375</v>
      </c>
      <c r="AD151" s="44" t="s">
        <v>269</v>
      </c>
      <c r="AE151" s="59">
        <v>20</v>
      </c>
      <c r="AF151" s="59">
        <v>35</v>
      </c>
      <c r="AG151" s="60" t="s">
        <v>231</v>
      </c>
    </row>
    <row r="152" spans="2:33" x14ac:dyDescent="0.3">
      <c r="B152" s="89" t="s">
        <v>270</v>
      </c>
      <c r="C152" s="37"/>
      <c r="D152" s="28"/>
      <c r="E152" s="28"/>
      <c r="F152" s="28"/>
      <c r="G152" s="28"/>
      <c r="H152" s="37"/>
      <c r="I152" s="37"/>
      <c r="J152" s="37"/>
      <c r="K152" s="37"/>
      <c r="L152" s="37"/>
      <c r="M152" s="168"/>
      <c r="N152" s="168"/>
      <c r="O152" s="103"/>
      <c r="P152" s="34" t="s">
        <v>271</v>
      </c>
      <c r="Q152" s="34" t="s">
        <v>131</v>
      </c>
      <c r="R152" s="62">
        <v>2.044</v>
      </c>
      <c r="S152" s="61">
        <f>1.5*5.5*1/12</f>
        <v>0.6875</v>
      </c>
      <c r="AD152" s="44" t="s">
        <v>272</v>
      </c>
      <c r="AE152" s="59">
        <v>25</v>
      </c>
      <c r="AF152" s="59">
        <v>45</v>
      </c>
      <c r="AG152" s="60" t="s">
        <v>231</v>
      </c>
    </row>
    <row r="153" spans="2:33" x14ac:dyDescent="0.3">
      <c r="B153" s="89"/>
      <c r="C153" s="37" t="s">
        <v>273</v>
      </c>
      <c r="D153" s="37" t="s">
        <v>218</v>
      </c>
      <c r="E153" s="56">
        <v>6.12</v>
      </c>
      <c r="F153" s="175">
        <f>2*8*8/12</f>
        <v>10.666666666666666</v>
      </c>
      <c r="G153" s="28"/>
      <c r="H153" s="37"/>
      <c r="I153" s="37"/>
      <c r="J153" s="37"/>
      <c r="K153" s="37"/>
      <c r="L153" s="37"/>
      <c r="M153" s="168"/>
      <c r="N153" s="168"/>
      <c r="O153" s="103"/>
      <c r="P153" s="34" t="s">
        <v>274</v>
      </c>
      <c r="Q153" s="34" t="s">
        <v>131</v>
      </c>
      <c r="R153" s="62">
        <v>2.5619999999999998</v>
      </c>
      <c r="S153" s="61">
        <f>1.75*9.5*1/12</f>
        <v>1.3854166666666667</v>
      </c>
      <c r="AD153" s="44" t="s">
        <v>275</v>
      </c>
      <c r="AE153" s="59">
        <v>30</v>
      </c>
      <c r="AF153" s="59">
        <v>50</v>
      </c>
      <c r="AG153" s="60" t="s">
        <v>231</v>
      </c>
    </row>
    <row r="154" spans="2:33" x14ac:dyDescent="0.3">
      <c r="B154" s="89"/>
      <c r="C154" s="37" t="s">
        <v>276</v>
      </c>
      <c r="D154" s="37" t="s">
        <v>218</v>
      </c>
      <c r="E154" s="56">
        <v>7.64</v>
      </c>
      <c r="F154" s="175">
        <f>2*8*10/12</f>
        <v>13.333333333333334</v>
      </c>
      <c r="G154" s="28"/>
      <c r="H154" s="37"/>
      <c r="I154" s="37"/>
      <c r="J154" s="37"/>
      <c r="K154" s="37"/>
      <c r="L154" s="37"/>
      <c r="M154" s="168"/>
      <c r="N154" s="168"/>
      <c r="O154" s="103"/>
      <c r="P154" s="34" t="s">
        <v>277</v>
      </c>
      <c r="Q154" s="34" t="s">
        <v>131</v>
      </c>
      <c r="R154" s="62">
        <v>2.9330000000000003</v>
      </c>
      <c r="S154" s="61">
        <f>1.75*11.875*1/12</f>
        <v>1.7317708333333333</v>
      </c>
      <c r="AD154" s="100" t="s">
        <v>189</v>
      </c>
      <c r="AE154" s="59">
        <v>2</v>
      </c>
      <c r="AF154" s="59">
        <v>3</v>
      </c>
      <c r="AG154" s="60" t="s">
        <v>227</v>
      </c>
    </row>
    <row r="155" spans="2:33" x14ac:dyDescent="0.3">
      <c r="B155" s="89"/>
      <c r="C155" s="37" t="s">
        <v>278</v>
      </c>
      <c r="D155" s="37" t="s">
        <v>218</v>
      </c>
      <c r="E155" s="56">
        <v>9.17</v>
      </c>
      <c r="F155" s="175">
        <f>2*8*12/12</f>
        <v>16</v>
      </c>
      <c r="G155" s="28"/>
      <c r="H155" s="37"/>
      <c r="I155" s="37"/>
      <c r="J155" s="37"/>
      <c r="K155" s="37"/>
      <c r="L155" s="37"/>
      <c r="M155" s="168"/>
      <c r="N155" s="168"/>
      <c r="O155" s="103"/>
      <c r="P155" s="34" t="s">
        <v>279</v>
      </c>
      <c r="Q155" s="34" t="s">
        <v>131</v>
      </c>
      <c r="R155" s="62">
        <v>4.2210000000000001</v>
      </c>
      <c r="S155" s="61">
        <f>1.75*14*1/12</f>
        <v>2.0416666666666665</v>
      </c>
      <c r="AD155" s="44" t="s">
        <v>280</v>
      </c>
      <c r="AE155" s="59">
        <v>65</v>
      </c>
      <c r="AF155" s="59">
        <v>120</v>
      </c>
      <c r="AG155" s="60" t="s">
        <v>231</v>
      </c>
    </row>
    <row r="156" spans="2:33" x14ac:dyDescent="0.3">
      <c r="B156" s="89"/>
      <c r="C156" s="37" t="s">
        <v>281</v>
      </c>
      <c r="D156" s="37" t="s">
        <v>218</v>
      </c>
      <c r="E156" s="56">
        <v>10.7</v>
      </c>
      <c r="F156" s="175">
        <f>2*8*14/12</f>
        <v>18.666666666666668</v>
      </c>
      <c r="G156" s="28"/>
      <c r="H156" s="37"/>
      <c r="I156" s="37"/>
      <c r="J156" s="37"/>
      <c r="K156" s="37"/>
      <c r="L156" s="37"/>
      <c r="M156" s="168"/>
      <c r="N156" s="168"/>
      <c r="O156" s="103"/>
      <c r="P156" s="37" t="s">
        <v>282</v>
      </c>
      <c r="Q156" s="37" t="s">
        <v>131</v>
      </c>
      <c r="R156" s="56">
        <v>4.8499999999999996</v>
      </c>
      <c r="S156" s="61">
        <f>1.75*16*1/12</f>
        <v>2.3333333333333335</v>
      </c>
      <c r="AD156" s="44" t="s">
        <v>283</v>
      </c>
      <c r="AE156" s="59">
        <v>30</v>
      </c>
      <c r="AF156" s="59">
        <v>50</v>
      </c>
      <c r="AG156" s="60" t="s">
        <v>231</v>
      </c>
    </row>
    <row r="157" spans="2:33" x14ac:dyDescent="0.3">
      <c r="B157" s="89"/>
      <c r="C157" s="37" t="s">
        <v>284</v>
      </c>
      <c r="D157" s="37" t="s">
        <v>218</v>
      </c>
      <c r="E157" s="56">
        <v>12.49</v>
      </c>
      <c r="F157" s="175">
        <f>2*8*16/12</f>
        <v>21.333333333333332</v>
      </c>
      <c r="G157" s="28"/>
      <c r="H157" s="37"/>
      <c r="I157" s="37"/>
      <c r="J157" s="37"/>
      <c r="K157" s="37"/>
      <c r="L157" s="37"/>
      <c r="M157" s="168"/>
      <c r="N157" s="168"/>
      <c r="O157" s="103"/>
      <c r="P157" s="37" t="s">
        <v>285</v>
      </c>
      <c r="Q157" s="37" t="s">
        <v>131</v>
      </c>
      <c r="R157" s="56">
        <v>5.12</v>
      </c>
      <c r="S157" s="61">
        <f>3.5*9.5*1/12</f>
        <v>2.7708333333333335</v>
      </c>
      <c r="AD157" s="44" t="s">
        <v>286</v>
      </c>
      <c r="AE157" s="59">
        <v>30</v>
      </c>
      <c r="AF157" s="59">
        <v>50</v>
      </c>
      <c r="AG157" s="60" t="s">
        <v>231</v>
      </c>
    </row>
    <row r="158" spans="2:33" x14ac:dyDescent="0.3">
      <c r="B158" s="89"/>
      <c r="C158" s="37" t="s">
        <v>287</v>
      </c>
      <c r="D158" s="37" t="s">
        <v>218</v>
      </c>
      <c r="E158" s="56">
        <v>14.05</v>
      </c>
      <c r="F158" s="175">
        <f>2*8*18/12</f>
        <v>24</v>
      </c>
      <c r="G158" s="28"/>
      <c r="H158" s="37"/>
      <c r="I158" s="37"/>
      <c r="J158" s="37"/>
      <c r="K158" s="37"/>
      <c r="L158" s="37"/>
      <c r="M158" s="168"/>
      <c r="N158" s="168"/>
      <c r="O158" s="103"/>
      <c r="P158" s="37" t="s">
        <v>288</v>
      </c>
      <c r="Q158" s="37" t="s">
        <v>131</v>
      </c>
      <c r="R158" s="56">
        <v>6.02</v>
      </c>
      <c r="S158" s="61">
        <f>3.5*11.875*1/12</f>
        <v>3.4635416666666665</v>
      </c>
      <c r="AD158" s="44" t="s">
        <v>289</v>
      </c>
      <c r="AE158" s="59">
        <v>35</v>
      </c>
      <c r="AF158" s="59">
        <v>60</v>
      </c>
      <c r="AG158" s="60" t="s">
        <v>231</v>
      </c>
    </row>
    <row r="159" spans="2:33" x14ac:dyDescent="0.3">
      <c r="B159" s="172"/>
      <c r="C159" s="37" t="s">
        <v>290</v>
      </c>
      <c r="D159" s="37" t="s">
        <v>218</v>
      </c>
      <c r="E159" s="56">
        <v>15.61</v>
      </c>
      <c r="F159" s="175">
        <f>2*8*20/12</f>
        <v>26.666666666666668</v>
      </c>
      <c r="G159" s="28"/>
      <c r="H159" s="37"/>
      <c r="I159" s="37"/>
      <c r="J159" s="37"/>
      <c r="K159" s="37"/>
      <c r="L159" s="37"/>
      <c r="M159" s="168"/>
      <c r="N159" s="168"/>
      <c r="O159" s="103"/>
      <c r="P159" s="37" t="s">
        <v>291</v>
      </c>
      <c r="Q159" s="37" t="s">
        <v>131</v>
      </c>
      <c r="R159" s="56">
        <v>7.22</v>
      </c>
      <c r="S159" s="61">
        <f>3.5*14*1/12</f>
        <v>4.083333333333333</v>
      </c>
      <c r="AD159" s="44" t="s">
        <v>158</v>
      </c>
      <c r="AE159" s="59">
        <v>150</v>
      </c>
      <c r="AF159" s="59">
        <v>160</v>
      </c>
      <c r="AG159" s="60" t="s">
        <v>292</v>
      </c>
    </row>
    <row r="160" spans="2:33" x14ac:dyDescent="0.3">
      <c r="B160" s="89" t="s">
        <v>293</v>
      </c>
      <c r="C160" s="37"/>
      <c r="D160" s="28"/>
      <c r="E160" s="28"/>
      <c r="F160" s="28"/>
      <c r="G160" s="28"/>
      <c r="H160" s="37"/>
      <c r="I160" s="37"/>
      <c r="J160" s="37"/>
      <c r="K160" s="37"/>
      <c r="L160" s="37"/>
      <c r="M160" s="168"/>
      <c r="N160" s="168"/>
      <c r="O160" s="103"/>
      <c r="P160" s="37" t="s">
        <v>294</v>
      </c>
      <c r="Q160" s="37" t="s">
        <v>131</v>
      </c>
      <c r="R160" s="56">
        <v>8.33</v>
      </c>
      <c r="S160" s="61">
        <f>3.5*16*1/12</f>
        <v>4.666666666666667</v>
      </c>
      <c r="AD160" s="100" t="s">
        <v>152</v>
      </c>
      <c r="AE160" s="59">
        <v>130</v>
      </c>
      <c r="AF160" s="59">
        <v>150</v>
      </c>
      <c r="AG160" s="60" t="s">
        <v>292</v>
      </c>
    </row>
    <row r="161" spans="2:33" x14ac:dyDescent="0.3">
      <c r="B161" s="89"/>
      <c r="C161" s="37" t="s">
        <v>295</v>
      </c>
      <c r="D161" s="37" t="s">
        <v>218</v>
      </c>
      <c r="E161" s="56">
        <v>7.77</v>
      </c>
      <c r="F161" s="175">
        <f>1*10*8/12</f>
        <v>6.666666666666667</v>
      </c>
      <c r="G161" s="28"/>
      <c r="H161" s="37"/>
      <c r="I161" s="37"/>
      <c r="J161" s="37"/>
      <c r="K161" s="37"/>
      <c r="L161" s="37"/>
      <c r="M161" s="168"/>
      <c r="N161" s="168"/>
      <c r="O161" s="103" t="s">
        <v>296</v>
      </c>
      <c r="P161" s="37" t="s">
        <v>297</v>
      </c>
      <c r="Q161" s="37" t="s">
        <v>131</v>
      </c>
      <c r="R161" s="56">
        <v>8.4600000000000009</v>
      </c>
      <c r="S161" s="61">
        <f>5.125*9.5*1/12</f>
        <v>4.057291666666667</v>
      </c>
      <c r="AD161" s="100" t="s">
        <v>159</v>
      </c>
      <c r="AE161" s="59">
        <v>160</v>
      </c>
      <c r="AF161" s="59">
        <v>180</v>
      </c>
      <c r="AG161" s="60" t="s">
        <v>292</v>
      </c>
    </row>
    <row r="162" spans="2:33" x14ac:dyDescent="0.3">
      <c r="B162" s="89"/>
      <c r="C162" s="37" t="s">
        <v>298</v>
      </c>
      <c r="D162" s="37" t="s">
        <v>218</v>
      </c>
      <c r="E162" s="56">
        <v>10.199999999999999</v>
      </c>
      <c r="F162" s="175">
        <f>1*10*10/12</f>
        <v>8.3333333333333339</v>
      </c>
      <c r="G162" s="28"/>
      <c r="H162" s="37"/>
      <c r="I162" s="37"/>
      <c r="J162" s="37"/>
      <c r="K162" s="37"/>
      <c r="L162" s="37"/>
      <c r="M162" s="168"/>
      <c r="N162" s="168"/>
      <c r="O162" s="103"/>
      <c r="P162" s="37" t="s">
        <v>299</v>
      </c>
      <c r="Q162" s="37" t="s">
        <v>131</v>
      </c>
      <c r="R162" s="56">
        <v>8.8970000000000002</v>
      </c>
      <c r="S162" s="61">
        <f>5.125*11.875*1/12</f>
        <v>5.071614583333333</v>
      </c>
      <c r="AD162" s="100" t="s">
        <v>300</v>
      </c>
      <c r="AE162" s="64">
        <v>180</v>
      </c>
      <c r="AF162" s="64">
        <v>240</v>
      </c>
      <c r="AG162" s="60" t="s">
        <v>231</v>
      </c>
    </row>
    <row r="163" spans="2:33" x14ac:dyDescent="0.3">
      <c r="B163" s="89"/>
      <c r="C163" s="37" t="s">
        <v>301</v>
      </c>
      <c r="D163" s="37" t="s">
        <v>218</v>
      </c>
      <c r="E163" s="56">
        <v>11.9</v>
      </c>
      <c r="F163" s="175">
        <f>1*10*12/12</f>
        <v>10</v>
      </c>
      <c r="G163" s="28"/>
      <c r="H163" s="37"/>
      <c r="I163" s="37"/>
      <c r="J163" s="37"/>
      <c r="K163" s="37"/>
      <c r="L163" s="37"/>
      <c r="M163" s="168"/>
      <c r="N163" s="168"/>
      <c r="O163" s="103"/>
      <c r="P163" s="37" t="s">
        <v>302</v>
      </c>
      <c r="Q163" s="37" t="s">
        <v>131</v>
      </c>
      <c r="R163" s="56">
        <v>9.69</v>
      </c>
      <c r="S163" s="61">
        <f>5.125*14*1/12</f>
        <v>5.979166666666667</v>
      </c>
      <c r="AD163" s="63" t="s">
        <v>303</v>
      </c>
      <c r="AE163" s="64">
        <v>230</v>
      </c>
      <c r="AF163" s="64">
        <v>280</v>
      </c>
      <c r="AG163" s="60" t="s">
        <v>231</v>
      </c>
    </row>
    <row r="164" spans="2:33" x14ac:dyDescent="0.3">
      <c r="B164" s="89"/>
      <c r="C164" s="37" t="s">
        <v>304</v>
      </c>
      <c r="D164" s="37" t="s">
        <v>218</v>
      </c>
      <c r="E164" s="56">
        <v>13.89</v>
      </c>
      <c r="F164" s="175">
        <f>1*10*14/12</f>
        <v>11.666666666666666</v>
      </c>
      <c r="G164" s="28"/>
      <c r="H164" s="37"/>
      <c r="I164" s="37"/>
      <c r="J164" s="37"/>
      <c r="K164" s="37"/>
      <c r="L164" s="37"/>
      <c r="M164" s="168"/>
      <c r="N164" s="168"/>
      <c r="O164" s="103"/>
      <c r="P164" s="37" t="s">
        <v>305</v>
      </c>
      <c r="Q164" s="37" t="s">
        <v>131</v>
      </c>
      <c r="R164" s="56">
        <v>10.71</v>
      </c>
      <c r="S164" s="61">
        <f>5.125*16*1/12</f>
        <v>6.833333333333333</v>
      </c>
      <c r="AD164" s="44" t="s">
        <v>306</v>
      </c>
      <c r="AE164" s="59">
        <v>40</v>
      </c>
      <c r="AF164" s="59">
        <v>60</v>
      </c>
      <c r="AG164" s="60" t="s">
        <v>292</v>
      </c>
    </row>
    <row r="165" spans="2:33" ht="15" thickBot="1" x14ac:dyDescent="0.35">
      <c r="B165" s="89"/>
      <c r="C165" s="37" t="s">
        <v>307</v>
      </c>
      <c r="D165" s="37" t="s">
        <v>218</v>
      </c>
      <c r="E165" s="56">
        <v>16.32</v>
      </c>
      <c r="F165" s="175">
        <f>1*10*16/12</f>
        <v>13.333333333333334</v>
      </c>
      <c r="G165" s="28"/>
      <c r="H165" s="37"/>
      <c r="I165" s="37"/>
      <c r="J165" s="37"/>
      <c r="K165" s="37"/>
      <c r="L165" s="37"/>
      <c r="M165" s="168"/>
      <c r="N165" s="168"/>
      <c r="O165" s="103" t="s">
        <v>308</v>
      </c>
      <c r="P165" s="37"/>
      <c r="Q165" s="37"/>
      <c r="R165" s="56"/>
      <c r="S165" s="61"/>
      <c r="AD165" s="46" t="s">
        <v>309</v>
      </c>
      <c r="AE165" s="65">
        <v>40</v>
      </c>
      <c r="AF165" s="65">
        <v>60</v>
      </c>
      <c r="AG165" s="66" t="s">
        <v>292</v>
      </c>
    </row>
    <row r="166" spans="2:33" x14ac:dyDescent="0.3">
      <c r="B166" s="172"/>
      <c r="C166" s="37" t="s">
        <v>310</v>
      </c>
      <c r="D166" s="37" t="s">
        <v>218</v>
      </c>
      <c r="E166" s="56">
        <v>18.600000000000001</v>
      </c>
      <c r="F166" s="175">
        <f>1*10*18/12</f>
        <v>15</v>
      </c>
      <c r="G166" s="28"/>
      <c r="H166" s="37"/>
      <c r="I166" s="37"/>
      <c r="J166" s="37"/>
      <c r="K166" s="37"/>
      <c r="L166" s="37"/>
      <c r="M166" s="168"/>
      <c r="N166" s="168"/>
      <c r="O166" s="103" t="s">
        <v>311</v>
      </c>
      <c r="P166" s="37" t="s">
        <v>312</v>
      </c>
      <c r="Q166" s="37" t="s">
        <v>131</v>
      </c>
      <c r="R166" s="56">
        <v>2.33</v>
      </c>
      <c r="S166" s="61">
        <v>1</v>
      </c>
    </row>
    <row r="167" spans="2:33" x14ac:dyDescent="0.3">
      <c r="B167" s="89"/>
      <c r="C167" s="37" t="s">
        <v>313</v>
      </c>
      <c r="D167" s="37" t="s">
        <v>218</v>
      </c>
      <c r="E167" s="56">
        <v>20.420000000000002</v>
      </c>
      <c r="F167" s="175">
        <f>1*10*20/12</f>
        <v>16.666666666666668</v>
      </c>
      <c r="G167" s="28"/>
      <c r="H167" s="37"/>
      <c r="I167" s="37"/>
      <c r="J167" s="37"/>
      <c r="K167" s="37"/>
      <c r="L167" s="37"/>
      <c r="M167" s="168"/>
      <c r="N167" s="168"/>
      <c r="O167" s="103"/>
      <c r="P167" s="37" t="s">
        <v>314</v>
      </c>
      <c r="Q167" s="37" t="s">
        <v>131</v>
      </c>
      <c r="R167" s="56">
        <v>2.8</v>
      </c>
      <c r="S167" s="61">
        <v>1</v>
      </c>
    </row>
    <row r="168" spans="2:33" x14ac:dyDescent="0.3">
      <c r="B168" s="89" t="s">
        <v>315</v>
      </c>
      <c r="C168" s="37"/>
      <c r="D168" s="28"/>
      <c r="E168" s="28"/>
      <c r="F168" s="28"/>
      <c r="G168" s="28"/>
      <c r="H168" s="37"/>
      <c r="I168" s="37"/>
      <c r="J168" s="37"/>
      <c r="K168" s="37"/>
      <c r="L168" s="37"/>
      <c r="M168" s="168"/>
      <c r="N168" s="168"/>
      <c r="O168" s="103"/>
      <c r="P168" s="37" t="s">
        <v>316</v>
      </c>
      <c r="Q168" s="37" t="s">
        <v>131</v>
      </c>
      <c r="R168" s="56">
        <v>3.89</v>
      </c>
      <c r="S168" s="61">
        <v>1</v>
      </c>
    </row>
    <row r="169" spans="2:33" ht="15" thickBot="1" x14ac:dyDescent="0.35">
      <c r="B169" s="89"/>
      <c r="C169" s="37" t="s">
        <v>317</v>
      </c>
      <c r="D169" s="37" t="s">
        <v>218</v>
      </c>
      <c r="E169" s="56">
        <v>10.58</v>
      </c>
      <c r="F169" s="175">
        <f>2*12*8/12</f>
        <v>16</v>
      </c>
      <c r="G169" s="28"/>
      <c r="H169" s="37"/>
      <c r="I169" s="37"/>
      <c r="J169" s="37"/>
      <c r="K169" s="37"/>
      <c r="L169" s="37"/>
      <c r="M169" s="168"/>
      <c r="N169" s="168"/>
      <c r="O169" s="103"/>
      <c r="P169" s="37" t="s">
        <v>318</v>
      </c>
      <c r="Q169" s="37" t="s">
        <v>131</v>
      </c>
      <c r="R169" s="56">
        <v>4.12</v>
      </c>
      <c r="S169" s="61">
        <v>1</v>
      </c>
    </row>
    <row r="170" spans="2:33" x14ac:dyDescent="0.3">
      <c r="B170" s="89"/>
      <c r="C170" s="37" t="s">
        <v>319</v>
      </c>
      <c r="D170" s="37" t="s">
        <v>218</v>
      </c>
      <c r="E170" s="56">
        <v>13.22</v>
      </c>
      <c r="F170" s="175">
        <f>2*12*10/12</f>
        <v>20</v>
      </c>
      <c r="G170" s="28"/>
      <c r="H170" s="37"/>
      <c r="I170" s="37"/>
      <c r="J170" s="37"/>
      <c r="K170" s="37"/>
      <c r="L170" s="37"/>
      <c r="M170" s="168"/>
      <c r="N170" s="168"/>
      <c r="O170" s="103"/>
      <c r="P170" s="37" t="s">
        <v>320</v>
      </c>
      <c r="Q170" s="37" t="s">
        <v>131</v>
      </c>
      <c r="R170" s="56">
        <v>2.44</v>
      </c>
      <c r="S170" s="61">
        <v>1</v>
      </c>
      <c r="AD170" s="83" t="s">
        <v>321</v>
      </c>
      <c r="AE170" s="84" t="s">
        <v>322</v>
      </c>
      <c r="AF170" s="41" t="s">
        <v>109</v>
      </c>
    </row>
    <row r="171" spans="2:33" x14ac:dyDescent="0.3">
      <c r="B171" s="89"/>
      <c r="C171" s="37" t="s">
        <v>323</v>
      </c>
      <c r="D171" s="37" t="s">
        <v>218</v>
      </c>
      <c r="E171" s="56">
        <v>16.149999999999999</v>
      </c>
      <c r="F171" s="175">
        <f>2*12*12/12</f>
        <v>24</v>
      </c>
      <c r="G171" s="28"/>
      <c r="H171" s="37"/>
      <c r="I171" s="37"/>
      <c r="J171" s="37"/>
      <c r="K171" s="37"/>
      <c r="L171" s="37"/>
      <c r="M171" s="168"/>
      <c r="N171" s="168"/>
      <c r="O171" s="103"/>
      <c r="P171" s="37" t="s">
        <v>324</v>
      </c>
      <c r="Q171" s="37" t="s">
        <v>131</v>
      </c>
      <c r="R171" s="56">
        <v>2.86</v>
      </c>
      <c r="S171" s="61">
        <v>1</v>
      </c>
      <c r="AD171" s="78">
        <v>0</v>
      </c>
      <c r="AE171" s="28">
        <v>12</v>
      </c>
      <c r="AF171" s="79">
        <f>SQRT((AD171^2)+(AE171^2))/AE171</f>
        <v>1</v>
      </c>
    </row>
    <row r="172" spans="2:33" x14ac:dyDescent="0.3">
      <c r="B172" s="89"/>
      <c r="C172" s="37" t="s">
        <v>325</v>
      </c>
      <c r="D172" s="37" t="s">
        <v>218</v>
      </c>
      <c r="E172" s="56">
        <v>18.84</v>
      </c>
      <c r="F172" s="175">
        <f>2*12*14/12</f>
        <v>28</v>
      </c>
      <c r="G172" s="28"/>
      <c r="H172" s="37"/>
      <c r="I172" s="37"/>
      <c r="J172" s="37"/>
      <c r="K172" s="37"/>
      <c r="L172" s="37"/>
      <c r="M172" s="168"/>
      <c r="N172" s="168"/>
      <c r="O172" s="103"/>
      <c r="P172" s="37" t="s">
        <v>326</v>
      </c>
      <c r="Q172" s="37" t="s">
        <v>131</v>
      </c>
      <c r="R172" s="56">
        <v>3.74</v>
      </c>
      <c r="S172" s="61">
        <v>1</v>
      </c>
      <c r="AD172" s="78">
        <v>1</v>
      </c>
      <c r="AE172" s="28">
        <v>12</v>
      </c>
      <c r="AF172" s="79">
        <f t="shared" ref="AF172:AF183" si="69">SQRT((AD172^2)+(AE172^2))/AE172</f>
        <v>1.0034662148993581</v>
      </c>
    </row>
    <row r="173" spans="2:33" x14ac:dyDescent="0.3">
      <c r="B173" s="172"/>
      <c r="C173" s="37" t="s">
        <v>327</v>
      </c>
      <c r="D173" s="37" t="s">
        <v>218</v>
      </c>
      <c r="E173" s="56">
        <v>22.3</v>
      </c>
      <c r="F173" s="175">
        <f>2*12*16/12</f>
        <v>32</v>
      </c>
      <c r="G173" s="28"/>
      <c r="H173" s="37"/>
      <c r="I173" s="37"/>
      <c r="J173" s="37"/>
      <c r="K173" s="37"/>
      <c r="L173" s="37"/>
      <c r="M173" s="168"/>
      <c r="N173" s="168"/>
      <c r="O173" s="103"/>
      <c r="P173" s="37" t="s">
        <v>136</v>
      </c>
      <c r="Q173" s="37" t="s">
        <v>131</v>
      </c>
      <c r="R173" s="56">
        <v>4.16</v>
      </c>
      <c r="S173" s="61">
        <v>1</v>
      </c>
      <c r="AD173" s="78">
        <v>2</v>
      </c>
      <c r="AE173" s="28">
        <v>12</v>
      </c>
      <c r="AF173" s="79">
        <f t="shared" si="69"/>
        <v>1.0137937550497031</v>
      </c>
    </row>
    <row r="174" spans="2:33" x14ac:dyDescent="0.3">
      <c r="B174" s="89"/>
      <c r="C174" s="37" t="s">
        <v>328</v>
      </c>
      <c r="D174" s="37" t="s">
        <v>218</v>
      </c>
      <c r="E174" s="56">
        <v>25.09</v>
      </c>
      <c r="F174" s="175">
        <f>2*12*81/12</f>
        <v>162</v>
      </c>
      <c r="G174" s="28"/>
      <c r="H174" s="37"/>
      <c r="I174" s="37"/>
      <c r="J174" s="37"/>
      <c r="K174" s="37"/>
      <c r="L174" s="37"/>
      <c r="M174" s="168"/>
      <c r="N174" s="168"/>
      <c r="O174" s="103"/>
      <c r="P174" s="37" t="s">
        <v>329</v>
      </c>
      <c r="Q174" s="37" t="s">
        <v>131</v>
      </c>
      <c r="R174" s="56">
        <v>2.68</v>
      </c>
      <c r="S174" s="61">
        <v>1</v>
      </c>
      <c r="AD174" s="78">
        <v>3</v>
      </c>
      <c r="AE174" s="28">
        <v>12</v>
      </c>
      <c r="AF174" s="79">
        <f t="shared" si="69"/>
        <v>1.0307764064044151</v>
      </c>
    </row>
    <row r="175" spans="2:33" x14ac:dyDescent="0.3">
      <c r="B175" s="89"/>
      <c r="C175" s="37" t="s">
        <v>330</v>
      </c>
      <c r="D175" s="37" t="s">
        <v>218</v>
      </c>
      <c r="E175" s="56">
        <v>27.88</v>
      </c>
      <c r="F175" s="175">
        <f>2*12*20/12</f>
        <v>40</v>
      </c>
      <c r="G175" s="28"/>
      <c r="H175" s="37"/>
      <c r="I175" s="37"/>
      <c r="J175" s="37"/>
      <c r="K175" s="37"/>
      <c r="L175" s="37"/>
      <c r="M175" s="168"/>
      <c r="N175" s="168"/>
      <c r="O175" s="103"/>
      <c r="P175" s="37" t="s">
        <v>331</v>
      </c>
      <c r="Q175" s="37" t="s">
        <v>131</v>
      </c>
      <c r="R175" s="56">
        <v>2.9610000000000003</v>
      </c>
      <c r="S175" s="61">
        <v>1</v>
      </c>
      <c r="AD175" s="78">
        <v>4</v>
      </c>
      <c r="AE175" s="28">
        <v>12</v>
      </c>
      <c r="AF175" s="79">
        <f t="shared" si="69"/>
        <v>1.0540925533894598</v>
      </c>
    </row>
    <row r="176" spans="2:33" x14ac:dyDescent="0.3">
      <c r="B176" s="89" t="s">
        <v>332</v>
      </c>
      <c r="C176" s="37"/>
      <c r="D176" s="37"/>
      <c r="E176" s="56"/>
      <c r="F176" s="175"/>
      <c r="G176" s="28"/>
      <c r="H176" s="37"/>
      <c r="I176" s="37"/>
      <c r="J176" s="37"/>
      <c r="K176" s="37"/>
      <c r="L176" s="37"/>
      <c r="M176" s="168"/>
      <c r="N176" s="168"/>
      <c r="O176" s="103"/>
      <c r="P176" s="37" t="s">
        <v>333</v>
      </c>
      <c r="Q176" s="37" t="s">
        <v>131</v>
      </c>
      <c r="R176" s="56">
        <v>4.22</v>
      </c>
      <c r="S176" s="61">
        <v>1</v>
      </c>
      <c r="AD176" s="78">
        <v>5</v>
      </c>
      <c r="AE176" s="28">
        <v>12</v>
      </c>
      <c r="AF176" s="79">
        <f t="shared" si="69"/>
        <v>1.0833333333333333</v>
      </c>
    </row>
    <row r="177" spans="2:32" x14ac:dyDescent="0.3">
      <c r="B177" s="89"/>
      <c r="C177" s="37" t="s">
        <v>116</v>
      </c>
      <c r="D177" s="37" t="s">
        <v>218</v>
      </c>
      <c r="E177" s="56">
        <v>2.4300000000000002</v>
      </c>
      <c r="F177" s="175">
        <f>2*4*8/12</f>
        <v>5.333333333333333</v>
      </c>
      <c r="G177" s="28"/>
      <c r="H177" s="37"/>
      <c r="I177" s="37"/>
      <c r="J177" s="37"/>
      <c r="K177" s="37"/>
      <c r="L177" s="37"/>
      <c r="M177" s="168"/>
      <c r="N177" s="168"/>
      <c r="O177" s="103"/>
      <c r="P177" s="37" t="s">
        <v>141</v>
      </c>
      <c r="Q177" s="37" t="s">
        <v>131</v>
      </c>
      <c r="R177" s="56">
        <v>4.6500000000000004</v>
      </c>
      <c r="S177" s="61">
        <v>1</v>
      </c>
      <c r="AD177" s="78">
        <v>6</v>
      </c>
      <c r="AE177" s="28">
        <v>12</v>
      </c>
      <c r="AF177" s="79">
        <f t="shared" si="69"/>
        <v>1.1180339887498949</v>
      </c>
    </row>
    <row r="178" spans="2:32" x14ac:dyDescent="0.3">
      <c r="B178" s="89"/>
      <c r="C178" s="37" t="s">
        <v>125</v>
      </c>
      <c r="D178" s="37" t="s">
        <v>218</v>
      </c>
      <c r="E178" s="56">
        <v>2.9</v>
      </c>
      <c r="F178" s="175">
        <f>2*4*9/12</f>
        <v>6</v>
      </c>
      <c r="G178" s="28"/>
      <c r="H178" s="37"/>
      <c r="I178" s="37"/>
      <c r="J178" s="37"/>
      <c r="K178" s="37"/>
      <c r="L178" s="37"/>
      <c r="M178" s="168"/>
      <c r="N178" s="168"/>
      <c r="O178" s="103" t="s">
        <v>334</v>
      </c>
      <c r="S178" s="43"/>
      <c r="AD178" s="78">
        <v>7</v>
      </c>
      <c r="AE178" s="28">
        <v>12</v>
      </c>
      <c r="AF178" s="79">
        <f t="shared" si="69"/>
        <v>1.1577036657874837</v>
      </c>
    </row>
    <row r="179" spans="2:32" x14ac:dyDescent="0.3">
      <c r="B179" s="89"/>
      <c r="C179" s="37" t="s">
        <v>121</v>
      </c>
      <c r="D179" s="37" t="s">
        <v>218</v>
      </c>
      <c r="E179" s="56">
        <v>3.64</v>
      </c>
      <c r="F179" s="175">
        <f>2*4*10/12</f>
        <v>6.666666666666667</v>
      </c>
      <c r="G179" s="28"/>
      <c r="H179" s="37"/>
      <c r="I179" s="37"/>
      <c r="J179" s="37"/>
      <c r="K179" s="37"/>
      <c r="L179" s="37"/>
      <c r="M179" s="168"/>
      <c r="N179" s="168"/>
      <c r="P179" s="37" t="s">
        <v>335</v>
      </c>
      <c r="Q179" s="37" t="s">
        <v>218</v>
      </c>
      <c r="R179" s="56">
        <v>24.35</v>
      </c>
      <c r="S179" s="110">
        <v>20</v>
      </c>
      <c r="AD179" s="78">
        <v>8</v>
      </c>
      <c r="AE179" s="28">
        <v>12</v>
      </c>
      <c r="AF179" s="79">
        <f t="shared" si="69"/>
        <v>1.2018504251546631</v>
      </c>
    </row>
    <row r="180" spans="2:32" x14ac:dyDescent="0.3">
      <c r="B180" s="172"/>
      <c r="C180" s="37" t="s">
        <v>112</v>
      </c>
      <c r="D180" s="37" t="s">
        <v>218</v>
      </c>
      <c r="E180" s="56">
        <v>4.42</v>
      </c>
      <c r="F180" s="175">
        <f>2*6*8/12</f>
        <v>8</v>
      </c>
      <c r="G180" s="28"/>
      <c r="H180" s="37"/>
      <c r="I180" s="37"/>
      <c r="J180" s="37"/>
      <c r="K180" s="37"/>
      <c r="L180" s="37"/>
      <c r="M180" s="168"/>
      <c r="N180" s="168"/>
      <c r="O180" s="103"/>
      <c r="P180" s="37" t="s">
        <v>336</v>
      </c>
      <c r="Q180" s="37" t="s">
        <v>218</v>
      </c>
      <c r="R180" s="56">
        <v>28.195999999999998</v>
      </c>
      <c r="S180" s="110">
        <v>20</v>
      </c>
      <c r="AD180" s="78">
        <v>9</v>
      </c>
      <c r="AE180" s="28">
        <v>12</v>
      </c>
      <c r="AF180" s="79">
        <f t="shared" si="69"/>
        <v>1.25</v>
      </c>
    </row>
    <row r="181" spans="2:32" x14ac:dyDescent="0.3">
      <c r="B181" s="89"/>
      <c r="C181" s="37" t="s">
        <v>123</v>
      </c>
      <c r="D181" s="37" t="s">
        <v>218</v>
      </c>
      <c r="E181" s="56">
        <v>4.88</v>
      </c>
      <c r="F181" s="175">
        <f>2*6*9/12</f>
        <v>9</v>
      </c>
      <c r="G181" s="28"/>
      <c r="H181" s="37"/>
      <c r="I181" s="37"/>
      <c r="J181" s="37"/>
      <c r="K181" s="37"/>
      <c r="L181" s="37"/>
      <c r="M181" s="168"/>
      <c r="N181" s="168"/>
      <c r="O181" s="103"/>
      <c r="P181" s="37" t="s">
        <v>337</v>
      </c>
      <c r="Q181" s="37" t="s">
        <v>218</v>
      </c>
      <c r="R181" s="56">
        <v>33.54</v>
      </c>
      <c r="S181" s="110">
        <v>20</v>
      </c>
      <c r="AD181" s="78">
        <v>10</v>
      </c>
      <c r="AE181" s="28">
        <v>12</v>
      </c>
      <c r="AF181" s="79">
        <f t="shared" si="69"/>
        <v>1.3017082793177757</v>
      </c>
    </row>
    <row r="182" spans="2:32" x14ac:dyDescent="0.3">
      <c r="B182" s="89"/>
      <c r="C182" s="37" t="s">
        <v>338</v>
      </c>
      <c r="D182" s="37" t="s">
        <v>218</v>
      </c>
      <c r="E182" s="56">
        <v>5.61</v>
      </c>
      <c r="F182" s="175">
        <f>2*6*10/12</f>
        <v>10</v>
      </c>
      <c r="G182" s="28"/>
      <c r="H182" s="37"/>
      <c r="I182" s="37"/>
      <c r="J182" s="37"/>
      <c r="K182" s="37"/>
      <c r="L182" s="37"/>
      <c r="M182" s="168"/>
      <c r="N182" s="168"/>
      <c r="O182" s="103"/>
      <c r="P182" s="37" t="s">
        <v>176</v>
      </c>
      <c r="Q182" s="37" t="s">
        <v>218</v>
      </c>
      <c r="R182" s="56">
        <v>37.01</v>
      </c>
      <c r="S182" s="110">
        <v>20</v>
      </c>
      <c r="AD182" s="78">
        <v>11</v>
      </c>
      <c r="AE182" s="28">
        <v>12</v>
      </c>
      <c r="AF182" s="79">
        <f t="shared" si="69"/>
        <v>1.3565683830083088</v>
      </c>
    </row>
    <row r="183" spans="2:32" ht="15" thickBot="1" x14ac:dyDescent="0.35">
      <c r="B183" s="89" t="s">
        <v>339</v>
      </c>
      <c r="C183" s="37"/>
      <c r="D183" s="37"/>
      <c r="E183" s="56"/>
      <c r="F183" s="175"/>
      <c r="G183" s="28"/>
      <c r="H183" s="37"/>
      <c r="I183" s="37"/>
      <c r="J183" s="37"/>
      <c r="K183" s="37"/>
      <c r="L183" s="37"/>
      <c r="M183" s="168"/>
      <c r="N183" s="168"/>
      <c r="O183" s="103" t="s">
        <v>340</v>
      </c>
      <c r="P183" s="37"/>
      <c r="Q183" s="37"/>
      <c r="R183" s="56"/>
      <c r="S183" s="61"/>
      <c r="AD183" s="80">
        <v>12</v>
      </c>
      <c r="AE183" s="81">
        <v>12</v>
      </c>
      <c r="AF183" s="82">
        <f t="shared" si="69"/>
        <v>1.4142135623730949</v>
      </c>
    </row>
    <row r="184" spans="2:32" x14ac:dyDescent="0.3">
      <c r="B184" s="89"/>
      <c r="C184" s="37" t="s">
        <v>341</v>
      </c>
      <c r="D184" s="37" t="s">
        <v>218</v>
      </c>
      <c r="E184" s="56">
        <v>6.1055555555555543</v>
      </c>
      <c r="F184" s="175">
        <f>4*4*8/12</f>
        <v>10.666666666666666</v>
      </c>
      <c r="G184" s="28"/>
      <c r="H184" s="37"/>
      <c r="I184" s="37"/>
      <c r="J184" s="37"/>
      <c r="K184" s="37"/>
      <c r="L184" s="37"/>
      <c r="M184" s="168"/>
      <c r="N184" s="168"/>
      <c r="O184" s="103"/>
      <c r="P184" s="37" t="s">
        <v>342</v>
      </c>
      <c r="Q184" s="37" t="s">
        <v>218</v>
      </c>
      <c r="R184" s="56">
        <v>47.340999999999994</v>
      </c>
      <c r="S184" s="61"/>
    </row>
    <row r="185" spans="2:32" x14ac:dyDescent="0.3">
      <c r="B185" s="89"/>
      <c r="C185" s="37" t="s">
        <v>343</v>
      </c>
      <c r="D185" s="37" t="s">
        <v>218</v>
      </c>
      <c r="E185" s="56">
        <v>6.8355555555555547</v>
      </c>
      <c r="F185" s="175">
        <f>4*4*10/12</f>
        <v>13.333333333333334</v>
      </c>
      <c r="G185" s="28"/>
      <c r="H185" s="37"/>
      <c r="I185" s="37"/>
      <c r="J185" s="37"/>
      <c r="K185" s="37"/>
      <c r="L185" s="37"/>
      <c r="M185" s="168"/>
      <c r="N185" s="168"/>
      <c r="O185" s="103"/>
      <c r="P185" s="37" t="s">
        <v>344</v>
      </c>
      <c r="Q185" s="37" t="s">
        <v>218</v>
      </c>
      <c r="R185" s="56">
        <v>12.984999999999999</v>
      </c>
      <c r="S185" s="61"/>
    </row>
    <row r="186" spans="2:32" x14ac:dyDescent="0.3">
      <c r="B186" s="89"/>
      <c r="C186" s="37" t="s">
        <v>345</v>
      </c>
      <c r="D186" s="37" t="s">
        <v>218</v>
      </c>
      <c r="E186" s="56">
        <v>7.5655555555555551</v>
      </c>
      <c r="F186" s="175">
        <f>4*4*12/12</f>
        <v>16</v>
      </c>
      <c r="G186" s="28"/>
      <c r="H186" s="37"/>
      <c r="I186" s="37"/>
      <c r="J186" s="37"/>
      <c r="K186" s="37"/>
      <c r="L186" s="37"/>
      <c r="M186" s="168"/>
      <c r="N186" s="168"/>
      <c r="O186" s="103"/>
      <c r="P186" s="37" t="s">
        <v>346</v>
      </c>
      <c r="Q186" s="37" t="s">
        <v>218</v>
      </c>
      <c r="R186" s="56">
        <v>6.944</v>
      </c>
      <c r="S186" s="61"/>
    </row>
    <row r="187" spans="2:32" ht="15" thickBot="1" x14ac:dyDescent="0.35">
      <c r="B187" s="172"/>
      <c r="C187" s="37" t="s">
        <v>347</v>
      </c>
      <c r="D187" s="37" t="s">
        <v>218</v>
      </c>
      <c r="E187" s="56">
        <v>8.2955555555555556</v>
      </c>
      <c r="F187" s="175">
        <f>4*4*14/12</f>
        <v>18.666666666666668</v>
      </c>
      <c r="G187" s="28"/>
      <c r="H187" s="37"/>
      <c r="I187" s="37"/>
      <c r="J187" s="37"/>
      <c r="K187" s="37"/>
      <c r="L187" s="37"/>
      <c r="M187" s="168"/>
      <c r="N187" s="168"/>
      <c r="O187" s="103" t="s">
        <v>348</v>
      </c>
      <c r="P187" s="37"/>
      <c r="Q187" s="37"/>
      <c r="R187" s="56"/>
      <c r="S187" s="61"/>
    </row>
    <row r="188" spans="2:32" x14ac:dyDescent="0.3">
      <c r="B188" s="89"/>
      <c r="C188" s="37" t="s">
        <v>349</v>
      </c>
      <c r="D188" s="37" t="s">
        <v>218</v>
      </c>
      <c r="E188" s="56">
        <v>9.025555555555556</v>
      </c>
      <c r="F188" s="175">
        <f>4*4*16/12</f>
        <v>21.333333333333332</v>
      </c>
      <c r="G188" s="28"/>
      <c r="H188" s="37"/>
      <c r="I188" s="37"/>
      <c r="J188" s="37"/>
      <c r="K188" s="37"/>
      <c r="L188" s="37"/>
      <c r="M188" s="168"/>
      <c r="N188" s="168"/>
      <c r="O188" s="103"/>
      <c r="P188" s="37" t="s">
        <v>350</v>
      </c>
      <c r="Q188" s="34" t="s">
        <v>218</v>
      </c>
      <c r="R188" s="56">
        <v>20.986000000000001</v>
      </c>
      <c r="S188" s="61"/>
      <c r="AD188" s="68" t="s">
        <v>351</v>
      </c>
      <c r="AE188" s="69" t="s">
        <v>109</v>
      </c>
    </row>
    <row r="189" spans="2:32" x14ac:dyDescent="0.3">
      <c r="B189" s="89"/>
      <c r="C189" s="37" t="s">
        <v>352</v>
      </c>
      <c r="D189" s="37" t="s">
        <v>218</v>
      </c>
      <c r="E189" s="56">
        <v>9.7555555555555564</v>
      </c>
      <c r="F189" s="175">
        <f>4*4*18/12</f>
        <v>24</v>
      </c>
      <c r="G189" s="28"/>
      <c r="H189" s="37"/>
      <c r="I189" s="37"/>
      <c r="J189" s="37"/>
      <c r="K189" s="37"/>
      <c r="L189" s="37"/>
      <c r="M189" s="168"/>
      <c r="N189" s="168"/>
      <c r="O189" s="103"/>
      <c r="P189" s="37" t="s">
        <v>353</v>
      </c>
      <c r="Q189" s="34" t="s">
        <v>218</v>
      </c>
      <c r="R189" s="56">
        <v>27.978999999999999</v>
      </c>
      <c r="S189" s="61"/>
      <c r="AD189" s="70" t="s">
        <v>354</v>
      </c>
      <c r="AE189" s="71">
        <v>1.25</v>
      </c>
    </row>
    <row r="190" spans="2:32" x14ac:dyDescent="0.3">
      <c r="B190" s="89"/>
      <c r="C190" s="37" t="s">
        <v>355</v>
      </c>
      <c r="D190" s="37" t="s">
        <v>218</v>
      </c>
      <c r="E190" s="56">
        <v>19.039999999999996</v>
      </c>
      <c r="F190" s="175">
        <f>4*6*8/12</f>
        <v>16</v>
      </c>
      <c r="G190" s="28"/>
      <c r="H190" s="37"/>
      <c r="I190" s="37"/>
      <c r="J190" s="37"/>
      <c r="K190" s="37"/>
      <c r="L190" s="37"/>
      <c r="M190" s="168"/>
      <c r="N190" s="168"/>
      <c r="O190" s="103"/>
      <c r="P190" s="37" t="s">
        <v>356</v>
      </c>
      <c r="Q190" s="34" t="s">
        <v>218</v>
      </c>
      <c r="R190" s="56">
        <v>34.978999999999999</v>
      </c>
      <c r="S190" s="61"/>
      <c r="AD190" s="70" t="s">
        <v>113</v>
      </c>
      <c r="AE190" s="71">
        <v>1</v>
      </c>
    </row>
    <row r="191" spans="2:32" x14ac:dyDescent="0.3">
      <c r="B191" s="89"/>
      <c r="C191" s="37" t="s">
        <v>357</v>
      </c>
      <c r="D191" s="37" t="s">
        <v>218</v>
      </c>
      <c r="E191" s="56">
        <v>20.499999999999996</v>
      </c>
      <c r="F191" s="175">
        <f>4*6*10/12</f>
        <v>20</v>
      </c>
      <c r="G191" s="28"/>
      <c r="H191" s="37"/>
      <c r="I191" s="37"/>
      <c r="J191" s="37"/>
      <c r="K191" s="37"/>
      <c r="L191" s="37"/>
      <c r="M191" s="168"/>
      <c r="N191" s="168"/>
      <c r="O191" s="103"/>
      <c r="P191" s="37" t="s">
        <v>358</v>
      </c>
      <c r="Q191" s="34" t="s">
        <v>218</v>
      </c>
      <c r="R191" s="56">
        <v>48.782999999999994</v>
      </c>
      <c r="S191" s="61"/>
      <c r="AD191" s="70" t="s">
        <v>359</v>
      </c>
      <c r="AE191" s="71">
        <v>0.9</v>
      </c>
    </row>
    <row r="192" spans="2:32" ht="15" thickBot="1" x14ac:dyDescent="0.35">
      <c r="B192" s="89"/>
      <c r="C192" s="37" t="s">
        <v>360</v>
      </c>
      <c r="D192" s="37" t="s">
        <v>218</v>
      </c>
      <c r="E192" s="56">
        <v>21.959999999999997</v>
      </c>
      <c r="F192" s="175">
        <f>4*6*12/12</f>
        <v>24</v>
      </c>
      <c r="G192" s="28"/>
      <c r="H192" s="37"/>
      <c r="I192" s="37"/>
      <c r="J192" s="37"/>
      <c r="K192" s="37"/>
      <c r="L192" s="37"/>
      <c r="M192" s="168"/>
      <c r="N192" s="168"/>
      <c r="O192" s="103" t="s">
        <v>361</v>
      </c>
      <c r="P192" s="37"/>
      <c r="Q192" s="37"/>
      <c r="R192" s="56"/>
      <c r="S192" s="61"/>
      <c r="AD192" s="72" t="s">
        <v>117</v>
      </c>
      <c r="AE192" s="73">
        <v>0.75</v>
      </c>
    </row>
    <row r="193" spans="2:32" x14ac:dyDescent="0.3">
      <c r="B193" s="89"/>
      <c r="C193" s="37" t="s">
        <v>362</v>
      </c>
      <c r="D193" s="37" t="s">
        <v>218</v>
      </c>
      <c r="E193" s="56">
        <v>23.419999999999998</v>
      </c>
      <c r="F193" s="175">
        <f>4*6*14/12</f>
        <v>28</v>
      </c>
      <c r="G193" s="28"/>
      <c r="H193" s="37"/>
      <c r="I193" s="37"/>
      <c r="J193" s="37"/>
      <c r="K193" s="37"/>
      <c r="L193" s="37"/>
      <c r="M193" s="168"/>
      <c r="N193" s="168"/>
      <c r="O193" s="103"/>
      <c r="P193" s="37" t="s">
        <v>363</v>
      </c>
      <c r="Q193" s="37" t="s">
        <v>364</v>
      </c>
      <c r="R193" s="56">
        <v>0.86099999999999999</v>
      </c>
      <c r="S193" s="61"/>
    </row>
    <row r="194" spans="2:32" ht="15" thickBot="1" x14ac:dyDescent="0.35">
      <c r="B194" s="89"/>
      <c r="C194" s="37" t="s">
        <v>365</v>
      </c>
      <c r="D194" s="37" t="s">
        <v>218</v>
      </c>
      <c r="E194" s="56">
        <v>24.88</v>
      </c>
      <c r="F194" s="175">
        <f>4*6*16/12</f>
        <v>32</v>
      </c>
      <c r="G194" s="28"/>
      <c r="H194" s="37"/>
      <c r="I194" s="37"/>
      <c r="J194" s="37"/>
      <c r="K194" s="37"/>
      <c r="L194" s="37"/>
      <c r="M194" s="168"/>
      <c r="N194" s="168"/>
      <c r="O194" s="103"/>
      <c r="P194" s="37" t="s">
        <v>366</v>
      </c>
      <c r="Q194" s="37" t="s">
        <v>364</v>
      </c>
      <c r="R194" s="56">
        <v>0.21</v>
      </c>
      <c r="S194" s="61"/>
    </row>
    <row r="195" spans="2:32" x14ac:dyDescent="0.3">
      <c r="B195" s="89"/>
      <c r="C195" s="37" t="s">
        <v>367</v>
      </c>
      <c r="D195" s="37" t="s">
        <v>218</v>
      </c>
      <c r="E195" s="56">
        <v>26.34</v>
      </c>
      <c r="F195" s="175">
        <f>4*6*18/12</f>
        <v>36</v>
      </c>
      <c r="G195" s="28"/>
      <c r="H195" s="37"/>
      <c r="I195" s="37"/>
      <c r="J195" s="37"/>
      <c r="K195" s="37"/>
      <c r="L195" s="37"/>
      <c r="M195" s="168"/>
      <c r="N195" s="168"/>
      <c r="O195" s="103"/>
      <c r="P195" s="37" t="s">
        <v>368</v>
      </c>
      <c r="Q195" s="37" t="s">
        <v>364</v>
      </c>
      <c r="R195" s="56">
        <v>0.21</v>
      </c>
      <c r="S195" s="61"/>
      <c r="AD195" s="197" t="s">
        <v>369</v>
      </c>
      <c r="AF195" s="197" t="s">
        <v>70</v>
      </c>
    </row>
    <row r="196" spans="2:32" x14ac:dyDescent="0.3">
      <c r="B196" s="89"/>
      <c r="C196" s="37" t="s">
        <v>370</v>
      </c>
      <c r="D196" s="37" t="s">
        <v>218</v>
      </c>
      <c r="E196" s="56">
        <v>23.419999999999998</v>
      </c>
      <c r="F196" s="175">
        <f>6*6*8/12</f>
        <v>24</v>
      </c>
      <c r="G196" s="28"/>
      <c r="H196" s="37"/>
      <c r="I196" s="37"/>
      <c r="J196" s="37"/>
      <c r="K196" s="37"/>
      <c r="L196" s="37"/>
      <c r="M196" s="168"/>
      <c r="N196" s="168"/>
      <c r="O196" s="103"/>
      <c r="P196" s="37" t="s">
        <v>371</v>
      </c>
      <c r="Q196" s="37" t="s">
        <v>372</v>
      </c>
      <c r="R196" s="56">
        <v>2.7370000000000001</v>
      </c>
      <c r="S196" s="61"/>
      <c r="AD196" s="195">
        <v>8</v>
      </c>
      <c r="AF196" s="195">
        <v>1</v>
      </c>
    </row>
    <row r="197" spans="2:32" x14ac:dyDescent="0.3">
      <c r="B197" s="89"/>
      <c r="C197" s="37" t="s">
        <v>373</v>
      </c>
      <c r="D197" s="37" t="s">
        <v>218</v>
      </c>
      <c r="E197" s="56">
        <v>24.88</v>
      </c>
      <c r="F197" s="175">
        <f>4*6*10/12</f>
        <v>20</v>
      </c>
      <c r="G197" s="28"/>
      <c r="H197" s="37"/>
      <c r="I197" s="37"/>
      <c r="J197" s="37"/>
      <c r="K197" s="37"/>
      <c r="L197" s="37"/>
      <c r="M197" s="168"/>
      <c r="N197" s="168"/>
      <c r="O197" s="103"/>
      <c r="P197" s="37" t="s">
        <v>374</v>
      </c>
      <c r="Q197" s="37" t="s">
        <v>372</v>
      </c>
      <c r="R197" s="56">
        <v>3.4089999999999998</v>
      </c>
      <c r="S197" s="61"/>
      <c r="AD197" s="195">
        <v>10</v>
      </c>
      <c r="AF197" s="195">
        <v>1.05</v>
      </c>
    </row>
    <row r="198" spans="2:32" x14ac:dyDescent="0.3">
      <c r="B198" s="89"/>
      <c r="C198" s="37" t="s">
        <v>375</v>
      </c>
      <c r="D198" s="37" t="s">
        <v>218</v>
      </c>
      <c r="E198" s="56">
        <v>26.34</v>
      </c>
      <c r="F198" s="175">
        <f>6*6*12/12</f>
        <v>36</v>
      </c>
      <c r="G198" s="28"/>
      <c r="H198" s="37"/>
      <c r="I198" s="37"/>
      <c r="J198" s="37"/>
      <c r="K198" s="37"/>
      <c r="L198" s="37"/>
      <c r="M198" s="168"/>
      <c r="N198" s="168"/>
      <c r="O198" s="37"/>
      <c r="P198" s="37" t="s">
        <v>376</v>
      </c>
      <c r="Q198" s="37" t="s">
        <v>377</v>
      </c>
      <c r="R198" s="56">
        <v>1.9529999999999998</v>
      </c>
      <c r="S198" s="61"/>
      <c r="AD198" s="195">
        <v>12</v>
      </c>
      <c r="AF198" s="195">
        <v>1.1000000000000001</v>
      </c>
    </row>
    <row r="199" spans="2:32" x14ac:dyDescent="0.3">
      <c r="B199" s="89"/>
      <c r="C199" s="37" t="s">
        <v>378</v>
      </c>
      <c r="D199" s="37" t="s">
        <v>218</v>
      </c>
      <c r="E199" s="56">
        <v>27.8</v>
      </c>
      <c r="F199" s="175">
        <f>6*6*14/12</f>
        <v>42</v>
      </c>
      <c r="G199" s="28"/>
      <c r="H199" s="37"/>
      <c r="I199" s="37"/>
      <c r="J199" s="37"/>
      <c r="K199" s="37"/>
      <c r="L199" s="37"/>
      <c r="M199" s="168"/>
      <c r="N199" s="168"/>
      <c r="O199" s="37"/>
      <c r="P199" s="37" t="s">
        <v>379</v>
      </c>
      <c r="Q199" s="37"/>
      <c r="R199" s="56">
        <v>0.56000000000000005</v>
      </c>
      <c r="S199" s="61"/>
      <c r="AD199" s="195">
        <v>14</v>
      </c>
      <c r="AF199" s="195">
        <v>1.1499999999999999</v>
      </c>
    </row>
    <row r="200" spans="2:32" x14ac:dyDescent="0.3">
      <c r="B200" s="89"/>
      <c r="C200" s="37" t="s">
        <v>380</v>
      </c>
      <c r="D200" s="37" t="s">
        <v>218</v>
      </c>
      <c r="E200" s="56">
        <v>29.26</v>
      </c>
      <c r="F200" s="175">
        <f>6*6*16/12</f>
        <v>48</v>
      </c>
      <c r="G200" s="37"/>
      <c r="H200" s="37"/>
      <c r="I200" s="37"/>
      <c r="J200" s="37"/>
      <c r="K200" s="37"/>
      <c r="L200" s="37"/>
      <c r="M200" s="103"/>
      <c r="N200" s="103"/>
      <c r="O200" s="37"/>
      <c r="P200" s="37" t="s">
        <v>381</v>
      </c>
      <c r="Q200" s="37"/>
      <c r="R200" s="56">
        <v>0</v>
      </c>
      <c r="S200" s="45"/>
      <c r="AD200" s="195">
        <v>16</v>
      </c>
      <c r="AF200" s="195">
        <v>1.2</v>
      </c>
    </row>
    <row r="201" spans="2:32" ht="15" thickBot="1" x14ac:dyDescent="0.35">
      <c r="B201" s="89"/>
      <c r="C201" s="37" t="s">
        <v>382</v>
      </c>
      <c r="D201" s="37" t="s">
        <v>218</v>
      </c>
      <c r="E201" s="56">
        <v>30.720000000000002</v>
      </c>
      <c r="F201" s="175">
        <f>6*6*18/12</f>
        <v>54</v>
      </c>
      <c r="G201" s="37"/>
      <c r="H201" s="37"/>
      <c r="I201" s="37"/>
      <c r="J201" s="37"/>
      <c r="K201" s="37"/>
      <c r="L201" s="37"/>
      <c r="M201" s="103"/>
      <c r="N201" s="103"/>
      <c r="O201" s="37"/>
      <c r="P201" s="37"/>
      <c r="Q201" s="37"/>
      <c r="R201" s="37"/>
      <c r="S201" s="43"/>
      <c r="AD201" s="195">
        <v>18</v>
      </c>
      <c r="AF201" s="196">
        <v>1.25</v>
      </c>
    </row>
    <row r="202" spans="2:32" x14ac:dyDescent="0.3">
      <c r="B202" s="89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103"/>
      <c r="N202" s="103"/>
      <c r="O202" s="37"/>
      <c r="P202" s="37"/>
      <c r="Q202" s="37"/>
      <c r="R202" s="37"/>
      <c r="S202" s="43"/>
      <c r="AD202" s="195">
        <v>20</v>
      </c>
    </row>
    <row r="203" spans="2:32" ht="15" thickBot="1" x14ac:dyDescent="0.35">
      <c r="B203" s="91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67"/>
      <c r="N203" s="67"/>
      <c r="O203" s="47"/>
      <c r="P203" s="47"/>
      <c r="Q203" s="47"/>
      <c r="R203" s="47"/>
      <c r="S203" s="48"/>
      <c r="AD203" s="196">
        <v>24</v>
      </c>
    </row>
    <row r="204" spans="2:32" x14ac:dyDescent="0.3">
      <c r="B204" s="169"/>
    </row>
    <row r="205" spans="2:32" x14ac:dyDescent="0.3">
      <c r="B205" s="169"/>
    </row>
    <row r="206" spans="2:32" x14ac:dyDescent="0.3">
      <c r="B206" s="169"/>
    </row>
    <row r="207" spans="2:32" x14ac:dyDescent="0.3">
      <c r="B207" s="169"/>
    </row>
    <row r="208" spans="2:32" x14ac:dyDescent="0.3">
      <c r="B208" s="169"/>
    </row>
    <row r="209" spans="2:2" x14ac:dyDescent="0.3">
      <c r="B209" s="169"/>
    </row>
  </sheetData>
  <dataValidations disablePrompts="1" count="20">
    <dataValidation type="list" allowBlank="1" showInputMessage="1" showErrorMessage="1" sqref="R84:R90" xr:uid="{00000000-0002-0000-0500-000000000000}">
      <formula1>#REF!</formula1>
    </dataValidation>
    <dataValidation type="list" allowBlank="1" showInputMessage="1" showErrorMessage="1" sqref="D61 D12:D17 D70" xr:uid="{00000000-0002-0000-0500-000001000000}">
      <formula1>$C$134:$C$135</formula1>
    </dataValidation>
    <dataValidation type="list" allowBlank="1" showInputMessage="1" showErrorMessage="1" sqref="D22:D29" xr:uid="{00000000-0002-0000-0500-000002000000}">
      <formula1>$C$137:$C$151</formula1>
    </dataValidation>
    <dataValidation type="list" allowBlank="1" showInputMessage="1" showErrorMessage="1" sqref="D34:D41" xr:uid="{00000000-0002-0000-0500-000003000000}">
      <formula1>$C$177:$C$182</formula1>
    </dataValidation>
    <dataValidation type="list" allowBlank="1" showInputMessage="1" showErrorMessage="1" sqref="D66:D69 D71 D56:D60" xr:uid="{00000000-0002-0000-0500-000004000000}">
      <formula1>$P$134:$P$140</formula1>
    </dataValidation>
    <dataValidation type="list" allowBlank="1" showInputMessage="1" showErrorMessage="1" sqref="D46:D51" xr:uid="{00000000-0002-0000-0500-000005000000}">
      <formula1>$P$166:$P$177</formula1>
    </dataValidation>
    <dataValidation type="list" allowBlank="1" showInputMessage="1" showErrorMessage="1" sqref="D76:D79" xr:uid="{00000000-0002-0000-0500-000006000000}">
      <formula1>$P$179:$P$182</formula1>
    </dataValidation>
    <dataValidation type="list" allowBlank="1" showInputMessage="1" showErrorMessage="1" sqref="P104:P110" xr:uid="{00000000-0002-0000-0500-000007000000}">
      <formula1>$AD$131:$AD$132</formula1>
    </dataValidation>
    <dataValidation type="list" allowBlank="1" showInputMessage="1" showErrorMessage="1" sqref="I66:I71" xr:uid="{00000000-0002-0000-0500-000008000000}">
      <formula1>$AD$171:$AD$183</formula1>
    </dataValidation>
    <dataValidation type="list" allowBlank="1" showInputMessage="1" showErrorMessage="1" sqref="F34:F41" xr:uid="{00000000-0002-0000-0500-000009000000}">
      <formula1>$AD$189:$AD$192</formula1>
    </dataValidation>
    <dataValidation type="list" allowBlank="1" showInputMessage="1" showErrorMessage="1" sqref="R12:R17 R22:R29" xr:uid="{00000000-0002-0000-0500-00000A000000}">
      <formula1>$AD$138:$AD$139</formula1>
    </dataValidation>
    <dataValidation type="list" allowBlank="1" showInputMessage="1" showErrorMessage="1" sqref="R66:R71" xr:uid="{00000000-0002-0000-0500-00000B000000}">
      <formula1>$AD$160:$AD$161</formula1>
    </dataValidation>
    <dataValidation type="list" allowBlank="1" showInputMessage="1" showErrorMessage="1" sqref="G12:G17" xr:uid="{00000000-0002-0000-0500-00000C000000}">
      <formula1>$AD$196:$AD$200</formula1>
    </dataValidation>
    <dataValidation type="list" allowBlank="1" showInputMessage="1" showErrorMessage="1" sqref="G22:G29" xr:uid="{00000000-0002-0000-0500-00000D000000}">
      <formula1>$AD$196:$AD$202</formula1>
    </dataValidation>
    <dataValidation type="list" allowBlank="1" showInputMessage="1" showErrorMessage="1" sqref="R34:R41" xr:uid="{00000000-0002-0000-0500-00000E000000}">
      <formula1>$AD$141:$AD$142</formula1>
    </dataValidation>
    <dataValidation type="list" allowBlank="1" showInputMessage="1" showErrorMessage="1" sqref="R46:R51 R76:R79" xr:uid="{00000000-0002-0000-0500-00000F000000}">
      <formula1>$AD$145:$AD$149</formula1>
    </dataValidation>
    <dataValidation type="list" allowBlank="1" showInputMessage="1" showErrorMessage="1" sqref="R56:R61" xr:uid="{00000000-0002-0000-0500-000010000000}">
      <formula1>$AD$159:$AD$160</formula1>
    </dataValidation>
    <dataValidation type="list" allowBlank="1" showInputMessage="1" showErrorMessage="1" sqref="R95:R99" xr:uid="{00000000-0002-0000-0500-000011000000}">
      <formula1>$AD$154</formula1>
    </dataValidation>
    <dataValidation type="list" allowBlank="1" showInputMessage="1" showErrorMessage="1" sqref="F13:F14" xr:uid="{00000000-0002-0000-0500-000012000000}">
      <formula1>$AF$197:$AF$201</formula1>
    </dataValidation>
    <dataValidation type="list" allowBlank="1" showInputMessage="1" showErrorMessage="1" sqref="F12 F22:F29 G56:G61 G66:G71 G76:G79" xr:uid="{00000000-0002-0000-0500-000013000000}">
      <formula1>$AF$196:$AF$201</formula1>
    </dataValidation>
  </dataValidations>
  <pageMargins left="0.25" right="0.25" top="0.75" bottom="0.75" header="0.3" footer="0.3"/>
  <pageSetup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B7B5-761A-493D-8B34-D998747FD962}">
  <dimension ref="B3:F7"/>
  <sheetViews>
    <sheetView showGridLines="0" tabSelected="1" zoomScale="250" zoomScaleNormal="250" workbookViewId="0">
      <selection activeCell="E5" sqref="E5"/>
    </sheetView>
  </sheetViews>
  <sheetFormatPr defaultRowHeight="14.4" x14ac:dyDescent="0.3"/>
  <cols>
    <col min="2" max="2" width="22.33203125" customWidth="1"/>
    <col min="3" max="3" width="8.88671875" style="18"/>
    <col min="4" max="4" width="8.88671875" style="142"/>
    <col min="5" max="5" width="8.88671875" style="18"/>
    <col min="6" max="6" width="11.88671875" style="142" customWidth="1"/>
  </cols>
  <sheetData>
    <row r="3" spans="2:6" s="161" customFormat="1" x14ac:dyDescent="0.3">
      <c r="B3" s="161" t="s">
        <v>181</v>
      </c>
      <c r="C3" s="21" t="s">
        <v>182</v>
      </c>
      <c r="D3" s="218" t="s">
        <v>183</v>
      </c>
      <c r="E3" s="21" t="s">
        <v>184</v>
      </c>
      <c r="F3" s="218" t="s">
        <v>383</v>
      </c>
    </row>
    <row r="4" spans="2:6" x14ac:dyDescent="0.3">
      <c r="B4" t="s">
        <v>384</v>
      </c>
      <c r="C4" s="18" t="s">
        <v>385</v>
      </c>
      <c r="D4" s="142">
        <v>138</v>
      </c>
      <c r="E4" s="18">
        <v>63</v>
      </c>
      <c r="F4" s="142">
        <f>D4*E4</f>
        <v>8694</v>
      </c>
    </row>
    <row r="5" spans="2:6" x14ac:dyDescent="0.3">
      <c r="B5" t="s">
        <v>386</v>
      </c>
      <c r="C5" s="18" t="s">
        <v>220</v>
      </c>
      <c r="D5" s="142">
        <v>35.47</v>
      </c>
      <c r="E5" s="18">
        <v>42</v>
      </c>
      <c r="F5" s="142">
        <f t="shared" ref="F5:F6" si="0">D5*E5</f>
        <v>1489.74</v>
      </c>
    </row>
    <row r="6" spans="2:6" x14ac:dyDescent="0.3">
      <c r="B6" t="s">
        <v>387</v>
      </c>
      <c r="C6" s="18" t="s">
        <v>364</v>
      </c>
      <c r="D6" s="142">
        <v>27.16</v>
      </c>
      <c r="E6" s="18">
        <v>46</v>
      </c>
      <c r="F6" s="219">
        <f t="shared" si="0"/>
        <v>1249.3599999999999</v>
      </c>
    </row>
    <row r="7" spans="2:6" x14ac:dyDescent="0.3">
      <c r="F7" s="200">
        <f>SUM(F4:F6)</f>
        <v>11433.1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Summary</vt:lpstr>
      <vt:lpstr>Gen Exp</vt:lpstr>
      <vt:lpstr>Excavation</vt:lpstr>
      <vt:lpstr>Concrete</vt:lpstr>
      <vt:lpstr>Masonry</vt:lpstr>
      <vt:lpstr>Carpentry</vt:lpstr>
      <vt:lpstr>Sheet1</vt:lpstr>
      <vt:lpstr>Carpentry!Print_Area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Warcup</dc:creator>
  <cp:keywords/>
  <dc:description/>
  <cp:lastModifiedBy>Robert Warcup</cp:lastModifiedBy>
  <cp:revision/>
  <dcterms:created xsi:type="dcterms:W3CDTF">2013-08-28T00:50:22Z</dcterms:created>
  <dcterms:modified xsi:type="dcterms:W3CDTF">2019-08-14T20:24:51Z</dcterms:modified>
  <cp:category/>
  <cp:contentStatus/>
</cp:coreProperties>
</file>